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W:\Odbor_programovania_PS\ODDELENIE_analyz_a_planovania\oAP_PSK_Programovanie\25xxxx_Zmeny_programu_navrhy\Zmeny_programu_verzie_3_0\PSK_MV_material_na_zasadnutie\"/>
    </mc:Choice>
  </mc:AlternateContent>
  <xr:revisionPtr revIDLastSave="0" documentId="13_ncr:1_{654C1BD1-D947-4689-8BC3-4D576FE836C8}" xr6:coauthVersionLast="47" xr6:coauthVersionMax="47" xr10:uidLastSave="{00000000-0000-0000-0000-000000000000}"/>
  <bookViews>
    <workbookView xWindow="-110" yWindow="-110" windowWidth="38620" windowHeight="21100" xr2:uid="{9A9AEBC1-8F68-4270-987B-3BA7CE975640}"/>
  </bookViews>
  <sheets>
    <sheet name="PSK_AT_verzia_4_0" sheetId="13" r:id="rId1"/>
    <sheet name="PSK_AT_verzia_4_0_vs_3_5" sheetId="9" r:id="rId2"/>
    <sheet name="PSK_AT_verzia_3_5" sheetId="1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clusters">[1]Matrix!$X$3:$X$28</definedName>
    <definedName name="_cohesion_cap">[1]Matrix!$J$22:$J$32</definedName>
    <definedName name="_decomlist_">[1]Matrix!$L$5:$L$7</definedName>
    <definedName name="_xlnm._FilterDatabase" localSheetId="2" hidden="1">PSK_AT_verzia_3_5!$F$16:$F$572</definedName>
    <definedName name="_xlnm._FilterDatabase" localSheetId="0" hidden="1">PSK_AT_verzia_4_0!$F$16:$F$636</definedName>
    <definedName name="_Funds">[2]Lists!$C$2:$C$14</definedName>
    <definedName name="_GNI">[1]Matrix!$N$12:$N$17</definedName>
    <definedName name="_Headings">[2]Lists!$B$2:$B$14</definedName>
    <definedName name="_lim1">[3]parameters!$D$28</definedName>
    <definedName name="_lim2">[3]parameters!$D$29</definedName>
    <definedName name="_lim3">[3]parameters!$N$28</definedName>
    <definedName name="_lim4">[3]parameters!$N$29</definedName>
    <definedName name="_maybe_">[1]Matrix!$L$5:$L$7</definedName>
    <definedName name="_MFFscenario">[1]Matrix!$Q$1:$Q$8</definedName>
    <definedName name="_MS">[2]Lists!$A$2:$A$28</definedName>
    <definedName name="_newMFF">[4]INPUT!$C$6:$BK$193</definedName>
    <definedName name="_others_PAonRAL">'[4]Brkdn OTHERS'!$C$26:$K$43</definedName>
    <definedName name="_othersRAL">'[4]Brkdn OTHERS'!$C$131:$S$192</definedName>
    <definedName name="_pct1">[3]parameters!$D$30</definedName>
    <definedName name="_pct2">[3]parameters!$D$31</definedName>
    <definedName name="_pct3">[3]parameters!$D$32</definedName>
    <definedName name="_pct4">[3]parameters!$N$31</definedName>
    <definedName name="_Post2020_CATPOL">[1]Matrix!$U$4:$U$170</definedName>
    <definedName name="_post2020envelope">[1]Matrix!$H$12:$H$18</definedName>
    <definedName name="_prices">[1]Matrix!$H$22:$H$23</definedName>
    <definedName name="_RAL">[4]INPUT!$C$199:$BK$240</definedName>
    <definedName name="_subceilings">[1]Matrix!$AC$2:$AC$5</definedName>
    <definedName name="aid_intensity_MD">[3]parameters!$D$45</definedName>
    <definedName name="alpha">[3]parameters!$N$26</definedName>
    <definedName name="below_av">[3]parameters!#REF!</definedName>
    <definedName name="capping">[5]parameters!$I$3</definedName>
    <definedName name="Cat_to_compare">[1]Matrix!$B$12:$B$31</definedName>
    <definedName name="ceilingConv">[3]parameters!$D$26</definedName>
    <definedName name="ceilingTrans">[3]parameters!$D$37</definedName>
    <definedName name="CFintens">[3]parameters!$D$55</definedName>
    <definedName name="cooptrans">[3]parameters!#REF!</definedName>
    <definedName name="decimals">[3]parameters!$D$95</definedName>
    <definedName name="defl_prevMFF">[3]parameters!$D$101</definedName>
    <definedName name="defl_regGDP">[3]parameters!$D$102</definedName>
    <definedName name="defl1y">[3]parameters!$G$98</definedName>
    <definedName name="defl3y">[3]parameters!$G$100</definedName>
    <definedName name="defl7y">[3]parameters!$I$99</definedName>
    <definedName name="delta">[3]C_Cu_afterTA!#REF!</definedName>
    <definedName name="depop">[3]parameters!$H$78</definedName>
    <definedName name="exPOSN">[3]parameters!#REF!</definedName>
    <definedName name="factor_2018_current">[3]Comp!$AG$2</definedName>
    <definedName name="GDP_gap_percentile">[3]parameters!$AE$70</definedName>
    <definedName name="Impact">[1]Matrix!$J$5:$J$8</definedName>
    <definedName name="interreg">[3]parameters!$D$63</definedName>
    <definedName name="interreg_new">[3]parameters!$N$63</definedName>
    <definedName name="intmin">[3]parameters!#REF!</definedName>
    <definedName name="invsafety">[3]parameters!$D$14</definedName>
    <definedName name="List">[1]Sheets!$A$13:$A$118</definedName>
    <definedName name="loweducLD">'[3]All regions'!$DR$2</definedName>
    <definedName name="LTU_rate_LD">'[3]All regions'!#REF!</definedName>
    <definedName name="max_decrease_LD_TR">[3]parameters!#REF!</definedName>
    <definedName name="max_increase_MD">[3]parameters!#REF!</definedName>
    <definedName name="migr_pop_th">[3]parameters!#REF!</definedName>
    <definedName name="n2_shares_within_ms" localSheetId="2">#REF!</definedName>
    <definedName name="n2_shares_within_ms" localSheetId="0">#REF!</definedName>
    <definedName name="n2_shares_within_ms">#REF!</definedName>
    <definedName name="n2results" localSheetId="2">#REF!</definedName>
    <definedName name="n2results" localSheetId="0">#REF!</definedName>
    <definedName name="n2results">#REF!</definedName>
    <definedName name="_xlnm.Print_Titles" localSheetId="2">PSK_AT_verzia_3_5!$3:$5</definedName>
    <definedName name="_xlnm.Print_Titles" localSheetId="0">PSK_AT_verzia_4_0!$3:$5</definedName>
    <definedName name="northalloc">[3]parameters!$D$60</definedName>
    <definedName name="ob2alloc">[3]parameters!$N$44</definedName>
    <definedName name="ob3alloc">[3]parameters!$D$62</definedName>
    <definedName name="_xlnm.Print_Area" localSheetId="2">PSK_AT_verzia_3_5!$A$1:$Q$826</definedName>
    <definedName name="_xlnm.Print_Area" localSheetId="0">PSK_AT_verzia_4_0!$A$1:$Q$1159</definedName>
    <definedName name="PEACE">[3]parameters!$D$74</definedName>
    <definedName name="pooralloc">[3]parameters!#REF!</definedName>
    <definedName name="POpcthigh">[3]parameters!#REF!</definedName>
    <definedName name="POsafety">[3]parameters!#REF!</definedName>
    <definedName name="power">[3]parameters!#REF!</definedName>
    <definedName name="RCEcrit1">[6]parameters!#REF!</definedName>
    <definedName name="RCEcrit11">[6]parameters!#REF!</definedName>
    <definedName name="RCEcrit12">[6]parameters!#REF!</definedName>
    <definedName name="RCEcrit2">[6]parameters!#REF!</definedName>
    <definedName name="RCEcrit3">[6]parameters!#REF!</definedName>
    <definedName name="RCEcrit4">[3]parameters!#REF!</definedName>
    <definedName name="RCEcrit5">[3]parameters!#REF!</definedName>
    <definedName name="RCEcrit6">[3]parameters!#REF!</definedName>
    <definedName name="RCEcrit7">[3]parameters!#REF!</definedName>
    <definedName name="RCEcrit8">[3]parameters!#REF!</definedName>
    <definedName name="RCEcrit9">[3]parameters!#REF!</definedName>
    <definedName name="rcetrans">[3]parameters!$N$45</definedName>
    <definedName name="redistribution">[3]parameters!#REF!</definedName>
    <definedName name="ref_year">[3]parameters!$D$100</definedName>
    <definedName name="rule_CFmax_1_third">[3]parameters!#REF!</definedName>
    <definedName name="rupalloc">[3]parameters!$D$59</definedName>
    <definedName name="safety">[3]parameters!$D$17</definedName>
    <definedName name="Safety_net_max_decrease_LD_TR">[3]parameters!#REF!</definedName>
    <definedName name="safety2">[3]parameters!$D$16</definedName>
    <definedName name="Scenarios">[1]Matrix!$C$1:$F$1</definedName>
    <definedName name="simulation_list_comparison">#REF!</definedName>
    <definedName name="topupIIAinter">[3]parameters!#REF!</definedName>
    <definedName name="topupIIAtrans">[3]parameters!#REF!</definedName>
    <definedName name="TR_safety_net">[3]parameters!#REF!</definedName>
    <definedName name="unemp_alloc">[3]parameters!$D$33</definedName>
    <definedName name="unempl_trans">[3]parameters!$D$40</definedName>
    <definedName name="unrt">'[3]All regions'!$DK$8</definedName>
    <definedName name="unrt_tr">'[3]All regions'!$EZ$8</definedName>
    <definedName name="very_poor">[3]parameters!#REF!</definedName>
    <definedName name="very_poor_ms">[3]parameters!#REF!</definedName>
    <definedName name="Yes_No">[1]Matrix!$K$5:$K$6</definedName>
    <definedName name="YT">[3]parameters!#REF!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0" i="13" l="1"/>
  <c r="K530" i="13"/>
  <c r="K525" i="13" l="1"/>
  <c r="K555" i="13"/>
  <c r="K267" i="13" l="1"/>
  <c r="L326" i="13" l="1"/>
  <c r="K326" i="13"/>
  <c r="K496" i="13"/>
  <c r="K495" i="13"/>
  <c r="L496" i="13"/>
  <c r="L495" i="13"/>
  <c r="L231" i="13" l="1"/>
  <c r="L253" i="13"/>
  <c r="K27" i="13"/>
  <c r="K38" i="13"/>
  <c r="K340" i="9"/>
  <c r="L340" i="9"/>
  <c r="O339" i="9"/>
  <c r="P339" i="9"/>
  <c r="Q339" i="9"/>
  <c r="O340" i="9"/>
  <c r="P340" i="9"/>
  <c r="Q340" i="9"/>
  <c r="N307" i="12"/>
  <c r="J307" i="12"/>
  <c r="G307" i="12" s="1"/>
  <c r="I307" i="12"/>
  <c r="H307" i="12"/>
  <c r="I340" i="13"/>
  <c r="I340" i="9" s="1"/>
  <c r="H340" i="13"/>
  <c r="H340" i="9" s="1"/>
  <c r="K338" i="13"/>
  <c r="L338" i="13"/>
  <c r="O338" i="13"/>
  <c r="P338" i="13"/>
  <c r="Q338" i="13"/>
  <c r="M336" i="13"/>
  <c r="J340" i="13"/>
  <c r="J340" i="9" s="1"/>
  <c r="N340" i="13"/>
  <c r="N340" i="9" s="1"/>
  <c r="M340" i="13"/>
  <c r="M338" i="13" s="1"/>
  <c r="H338" i="13" l="1"/>
  <c r="I338" i="13"/>
  <c r="M340" i="9"/>
  <c r="G340" i="13"/>
  <c r="K461" i="13"/>
  <c r="K454" i="13"/>
  <c r="E338" i="13" l="1"/>
  <c r="G340" i="9"/>
  <c r="K460" i="13"/>
  <c r="Q614" i="13" l="1"/>
  <c r="Q609" i="13"/>
  <c r="Q593" i="13"/>
  <c r="Q577" i="13"/>
  <c r="Q618" i="13"/>
  <c r="D320" i="9"/>
  <c r="E320" i="9"/>
  <c r="K320" i="13"/>
  <c r="L320" i="13"/>
  <c r="M320" i="13"/>
  <c r="O320" i="13"/>
  <c r="P320" i="13"/>
  <c r="Q320" i="13"/>
  <c r="Q320" i="9" s="1"/>
  <c r="K318" i="13"/>
  <c r="L318" i="13"/>
  <c r="M318" i="13"/>
  <c r="O318" i="13"/>
  <c r="P318" i="13"/>
  <c r="Q318" i="13"/>
  <c r="D317" i="13"/>
  <c r="E317" i="13"/>
  <c r="L459" i="13"/>
  <c r="L386" i="13"/>
  <c r="K76" i="13"/>
  <c r="K49" i="13"/>
  <c r="K115" i="13"/>
  <c r="K515" i="13"/>
  <c r="L320" i="9" l="1"/>
  <c r="K320" i="9"/>
  <c r="M320" i="9"/>
  <c r="L317" i="13"/>
  <c r="K317" i="13"/>
  <c r="H320" i="13"/>
  <c r="H320" i="9" s="1"/>
  <c r="I320" i="13"/>
  <c r="I320" i="9" s="1"/>
  <c r="P320" i="9"/>
  <c r="O320" i="9"/>
  <c r="M317" i="13"/>
  <c r="Q317" i="13"/>
  <c r="O317" i="13"/>
  <c r="P317" i="13"/>
  <c r="K271" i="13"/>
  <c r="K358" i="13"/>
  <c r="K402" i="13" l="1"/>
  <c r="O396" i="13"/>
  <c r="O434" i="13"/>
  <c r="K459" i="13"/>
  <c r="K386" i="13"/>
  <c r="O393" i="13"/>
  <c r="P393" i="13"/>
  <c r="P396" i="13"/>
  <c r="Q631" i="9" l="1"/>
  <c r="P631" i="9"/>
  <c r="O631" i="9"/>
  <c r="M631" i="9"/>
  <c r="L631" i="9"/>
  <c r="K631" i="9"/>
  <c r="E631" i="9"/>
  <c r="D631" i="9"/>
  <c r="C631" i="9"/>
  <c r="E630" i="9"/>
  <c r="D630" i="9"/>
  <c r="C630" i="9"/>
  <c r="E629" i="9"/>
  <c r="D629" i="9"/>
  <c r="C629" i="9"/>
  <c r="Q628" i="9"/>
  <c r="P628" i="9"/>
  <c r="M628" i="9"/>
  <c r="L628" i="9"/>
  <c r="K628" i="9"/>
  <c r="E628" i="9"/>
  <c r="D628" i="9"/>
  <c r="C628" i="9"/>
  <c r="E627" i="9"/>
  <c r="D627" i="9"/>
  <c r="C627" i="9"/>
  <c r="E626" i="9"/>
  <c r="D626" i="9"/>
  <c r="C626" i="9"/>
  <c r="Q625" i="9"/>
  <c r="P625" i="9"/>
  <c r="O625" i="9"/>
  <c r="M625" i="9"/>
  <c r="L625" i="9"/>
  <c r="K625" i="9"/>
  <c r="E625" i="9"/>
  <c r="D625" i="9"/>
  <c r="C625" i="9"/>
  <c r="E624" i="9"/>
  <c r="D624" i="9"/>
  <c r="C624" i="9"/>
  <c r="E623" i="9"/>
  <c r="D623" i="9"/>
  <c r="C623" i="9"/>
  <c r="Q622" i="9"/>
  <c r="P622" i="9"/>
  <c r="O622" i="9"/>
  <c r="M622" i="9"/>
  <c r="L622" i="9"/>
  <c r="E622" i="9"/>
  <c r="D622" i="9"/>
  <c r="C622" i="9"/>
  <c r="E621" i="9"/>
  <c r="D621" i="9"/>
  <c r="C621" i="9"/>
  <c r="E620" i="9"/>
  <c r="D620" i="9"/>
  <c r="C620" i="9"/>
  <c r="E618" i="9"/>
  <c r="D618" i="9"/>
  <c r="C618" i="9"/>
  <c r="P617" i="9"/>
  <c r="O617" i="9"/>
  <c r="M617" i="9"/>
  <c r="L617" i="9"/>
  <c r="K617" i="9"/>
  <c r="D617" i="9"/>
  <c r="C617" i="9"/>
  <c r="M616" i="9"/>
  <c r="E614" i="9"/>
  <c r="D614" i="9"/>
  <c r="C614" i="9"/>
  <c r="P613" i="9"/>
  <c r="O613" i="9"/>
  <c r="M613" i="9"/>
  <c r="L613" i="9"/>
  <c r="K613" i="9"/>
  <c r="E613" i="9"/>
  <c r="D613" i="9"/>
  <c r="C613" i="9"/>
  <c r="Q611" i="9"/>
  <c r="E611" i="9"/>
  <c r="D611" i="9"/>
  <c r="C611" i="9"/>
  <c r="P610" i="9"/>
  <c r="O610" i="9"/>
  <c r="M610" i="9"/>
  <c r="L610" i="9"/>
  <c r="K610" i="9"/>
  <c r="E610" i="9"/>
  <c r="D610" i="9"/>
  <c r="C610" i="9"/>
  <c r="E609" i="9"/>
  <c r="D609" i="9"/>
  <c r="C609" i="9"/>
  <c r="P608" i="9"/>
  <c r="O608" i="9"/>
  <c r="M608" i="9"/>
  <c r="L608" i="9"/>
  <c r="K608" i="9"/>
  <c r="E608" i="9"/>
  <c r="D608" i="9"/>
  <c r="C608" i="9"/>
  <c r="E606" i="9"/>
  <c r="D606" i="9"/>
  <c r="C606" i="9"/>
  <c r="P605" i="9"/>
  <c r="O605" i="9"/>
  <c r="M605" i="9"/>
  <c r="L605" i="9"/>
  <c r="K605" i="9"/>
  <c r="E605" i="9"/>
  <c r="D605" i="9"/>
  <c r="C605" i="9"/>
  <c r="Q603" i="9"/>
  <c r="E603" i="9"/>
  <c r="D603" i="9"/>
  <c r="C603" i="9"/>
  <c r="P602" i="9"/>
  <c r="O602" i="9"/>
  <c r="M602" i="9"/>
  <c r="L602" i="9"/>
  <c r="K602" i="9"/>
  <c r="E602" i="9"/>
  <c r="D602" i="9"/>
  <c r="C602" i="9"/>
  <c r="E601" i="9"/>
  <c r="D601" i="9"/>
  <c r="C601" i="9"/>
  <c r="P600" i="9"/>
  <c r="O600" i="9"/>
  <c r="M600" i="9"/>
  <c r="L600" i="9"/>
  <c r="K600" i="9"/>
  <c r="E600" i="9"/>
  <c r="D600" i="9"/>
  <c r="C600" i="9"/>
  <c r="P598" i="9"/>
  <c r="O598" i="9"/>
  <c r="N598" i="9"/>
  <c r="M598" i="9"/>
  <c r="L598" i="9"/>
  <c r="K598" i="9"/>
  <c r="J598" i="9"/>
  <c r="I598" i="9"/>
  <c r="H598" i="9"/>
  <c r="E598" i="9"/>
  <c r="D598" i="9"/>
  <c r="C598" i="9"/>
  <c r="E597" i="9"/>
  <c r="D597" i="9"/>
  <c r="C597" i="9"/>
  <c r="P596" i="9"/>
  <c r="O596" i="9"/>
  <c r="M596" i="9"/>
  <c r="L596" i="9"/>
  <c r="K596" i="9"/>
  <c r="D596" i="9"/>
  <c r="C596" i="9"/>
  <c r="E595" i="9"/>
  <c r="D595" i="9"/>
  <c r="C595" i="9"/>
  <c r="P594" i="9"/>
  <c r="O594" i="9"/>
  <c r="M594" i="9"/>
  <c r="L594" i="9"/>
  <c r="K594" i="9"/>
  <c r="E594" i="9"/>
  <c r="D594" i="9"/>
  <c r="C594" i="9"/>
  <c r="P593" i="9"/>
  <c r="O593" i="9"/>
  <c r="N593" i="9"/>
  <c r="M593" i="9"/>
  <c r="L593" i="9"/>
  <c r="K593" i="9"/>
  <c r="J593" i="9"/>
  <c r="I593" i="9"/>
  <c r="H593" i="9"/>
  <c r="E593" i="9"/>
  <c r="D593" i="9"/>
  <c r="C593" i="9"/>
  <c r="P592" i="9"/>
  <c r="O592" i="9"/>
  <c r="M592" i="9"/>
  <c r="L592" i="9"/>
  <c r="K592" i="9"/>
  <c r="E592" i="9"/>
  <c r="D592" i="9"/>
  <c r="C592" i="9"/>
  <c r="E590" i="9"/>
  <c r="D590" i="9"/>
  <c r="C590" i="9"/>
  <c r="P589" i="9"/>
  <c r="O589" i="9"/>
  <c r="M589" i="9"/>
  <c r="L589" i="9"/>
  <c r="K589" i="9"/>
  <c r="E589" i="9"/>
  <c r="D589" i="9"/>
  <c r="C589" i="9"/>
  <c r="E587" i="9"/>
  <c r="D587" i="9"/>
  <c r="C587" i="9"/>
  <c r="P586" i="9"/>
  <c r="O586" i="9"/>
  <c r="M586" i="9"/>
  <c r="L586" i="9"/>
  <c r="K586" i="9"/>
  <c r="E586" i="9"/>
  <c r="D586" i="9"/>
  <c r="C586" i="9"/>
  <c r="E585" i="9"/>
  <c r="D585" i="9"/>
  <c r="C585" i="9"/>
  <c r="P584" i="9"/>
  <c r="O584" i="9"/>
  <c r="M584" i="9"/>
  <c r="L584" i="9"/>
  <c r="K584" i="9"/>
  <c r="E584" i="9"/>
  <c r="D584" i="9"/>
  <c r="C584" i="9"/>
  <c r="Q582" i="9"/>
  <c r="P582" i="9"/>
  <c r="O582" i="9"/>
  <c r="N582" i="9"/>
  <c r="M582" i="9"/>
  <c r="L582" i="9"/>
  <c r="K582" i="9"/>
  <c r="J582" i="9"/>
  <c r="I582" i="9"/>
  <c r="H582" i="9"/>
  <c r="E582" i="9"/>
  <c r="D582" i="9"/>
  <c r="C582" i="9"/>
  <c r="Q581" i="9"/>
  <c r="E581" i="9"/>
  <c r="D581" i="9"/>
  <c r="C581" i="9"/>
  <c r="Q580" i="9"/>
  <c r="P580" i="9"/>
  <c r="O580" i="9"/>
  <c r="N580" i="9"/>
  <c r="M580" i="9"/>
  <c r="L580" i="9"/>
  <c r="K580" i="9"/>
  <c r="D580" i="9"/>
  <c r="C580" i="9"/>
  <c r="Q579" i="9"/>
  <c r="P579" i="9"/>
  <c r="O579" i="9"/>
  <c r="N579" i="9"/>
  <c r="M579" i="9"/>
  <c r="L579" i="9"/>
  <c r="K579" i="9"/>
  <c r="J579" i="9"/>
  <c r="I579" i="9"/>
  <c r="H579" i="9"/>
  <c r="E579" i="9"/>
  <c r="D579" i="9"/>
  <c r="C579" i="9"/>
  <c r="D578" i="9"/>
  <c r="C578" i="9"/>
  <c r="E577" i="9"/>
  <c r="D577" i="9"/>
  <c r="C577" i="9"/>
  <c r="P576" i="9"/>
  <c r="O576" i="9"/>
  <c r="M576" i="9"/>
  <c r="L576" i="9"/>
  <c r="K576" i="9"/>
  <c r="E576" i="9"/>
  <c r="D576" i="9"/>
  <c r="C576" i="9"/>
  <c r="Q571" i="9"/>
  <c r="P571" i="9"/>
  <c r="O571" i="9"/>
  <c r="M571" i="9"/>
  <c r="E571" i="9"/>
  <c r="D571" i="9"/>
  <c r="C571" i="9"/>
  <c r="Q570" i="9"/>
  <c r="P570" i="9"/>
  <c r="O570" i="9"/>
  <c r="M570" i="9"/>
  <c r="L570" i="9"/>
  <c r="K570" i="9"/>
  <c r="E570" i="9"/>
  <c r="D570" i="9"/>
  <c r="C570" i="9"/>
  <c r="E569" i="9"/>
  <c r="D569" i="9"/>
  <c r="Q566" i="9"/>
  <c r="P566" i="9"/>
  <c r="O566" i="9"/>
  <c r="M566" i="9"/>
  <c r="E566" i="9"/>
  <c r="D566" i="9"/>
  <c r="C566" i="9"/>
  <c r="Q565" i="9"/>
  <c r="P565" i="9"/>
  <c r="O565" i="9"/>
  <c r="M565" i="9"/>
  <c r="L565" i="9"/>
  <c r="E565" i="9"/>
  <c r="D565" i="9"/>
  <c r="C565" i="9"/>
  <c r="E564" i="9"/>
  <c r="D564" i="9"/>
  <c r="Q561" i="9"/>
  <c r="P561" i="9"/>
  <c r="O561" i="9"/>
  <c r="M561" i="9"/>
  <c r="L561" i="9"/>
  <c r="K561" i="9"/>
  <c r="E561" i="9"/>
  <c r="D561" i="9"/>
  <c r="C561" i="9"/>
  <c r="Q560" i="9"/>
  <c r="P560" i="9"/>
  <c r="O560" i="9"/>
  <c r="M560" i="9"/>
  <c r="L560" i="9"/>
  <c r="E560" i="9"/>
  <c r="D560" i="9"/>
  <c r="C560" i="9"/>
  <c r="Q559" i="9"/>
  <c r="P559" i="9"/>
  <c r="O559" i="9"/>
  <c r="M559" i="9"/>
  <c r="L559" i="9"/>
  <c r="K559" i="9"/>
  <c r="E559" i="9"/>
  <c r="D559" i="9"/>
  <c r="C559" i="9"/>
  <c r="E558" i="9"/>
  <c r="D558" i="9"/>
  <c r="E557" i="9"/>
  <c r="D557" i="9"/>
  <c r="Q556" i="9"/>
  <c r="P556" i="9"/>
  <c r="O556" i="9"/>
  <c r="M556" i="9"/>
  <c r="L556" i="9"/>
  <c r="K556" i="9"/>
  <c r="E556" i="9"/>
  <c r="D556" i="9"/>
  <c r="C556" i="9"/>
  <c r="Q555" i="9"/>
  <c r="P555" i="9"/>
  <c r="O555" i="9"/>
  <c r="M555" i="9"/>
  <c r="L555" i="9"/>
  <c r="E555" i="9"/>
  <c r="D555" i="9"/>
  <c r="C555" i="9"/>
  <c r="Q554" i="9"/>
  <c r="P554" i="9"/>
  <c r="O554" i="9"/>
  <c r="M554" i="9"/>
  <c r="L554" i="9"/>
  <c r="K554" i="9"/>
  <c r="E554" i="9"/>
  <c r="D554" i="9"/>
  <c r="C554" i="9"/>
  <c r="E553" i="9"/>
  <c r="D553" i="9"/>
  <c r="Q551" i="9"/>
  <c r="P551" i="9"/>
  <c r="O551" i="9"/>
  <c r="M551" i="9"/>
  <c r="L551" i="9"/>
  <c r="K551" i="9"/>
  <c r="E551" i="9"/>
  <c r="D551" i="9"/>
  <c r="C551" i="9"/>
  <c r="Q550" i="9"/>
  <c r="P550" i="9"/>
  <c r="O550" i="9"/>
  <c r="M550" i="9"/>
  <c r="L550" i="9"/>
  <c r="E550" i="9"/>
  <c r="D550" i="9"/>
  <c r="C550" i="9"/>
  <c r="Q549" i="9"/>
  <c r="P549" i="9"/>
  <c r="O549" i="9"/>
  <c r="M549" i="9"/>
  <c r="L549" i="9"/>
  <c r="K549" i="9"/>
  <c r="E549" i="9"/>
  <c r="D549" i="9"/>
  <c r="C549" i="9"/>
  <c r="E548" i="9"/>
  <c r="D548" i="9"/>
  <c r="Q546" i="9"/>
  <c r="P546" i="9"/>
  <c r="O546" i="9"/>
  <c r="M546" i="9"/>
  <c r="L546" i="9"/>
  <c r="K546" i="9"/>
  <c r="E546" i="9"/>
  <c r="D546" i="9"/>
  <c r="C546" i="9"/>
  <c r="Q545" i="9"/>
  <c r="P545" i="9"/>
  <c r="O545" i="9"/>
  <c r="M545" i="9"/>
  <c r="E545" i="9"/>
  <c r="D545" i="9"/>
  <c r="C545" i="9"/>
  <c r="Q544" i="9"/>
  <c r="P544" i="9"/>
  <c r="O544" i="9"/>
  <c r="M544" i="9"/>
  <c r="L544" i="9"/>
  <c r="K544" i="9"/>
  <c r="E544" i="9"/>
  <c r="D544" i="9"/>
  <c r="C544" i="9"/>
  <c r="E543" i="9"/>
  <c r="D543" i="9"/>
  <c r="Q541" i="9"/>
  <c r="P541" i="9"/>
  <c r="O541" i="9"/>
  <c r="M541" i="9"/>
  <c r="L541" i="9"/>
  <c r="K541" i="9"/>
  <c r="E541" i="9"/>
  <c r="D541" i="9"/>
  <c r="C541" i="9"/>
  <c r="Q540" i="9"/>
  <c r="P540" i="9"/>
  <c r="O540" i="9"/>
  <c r="M540" i="9"/>
  <c r="E540" i="9"/>
  <c r="D540" i="9"/>
  <c r="C540" i="9"/>
  <c r="Q539" i="9"/>
  <c r="P539" i="9"/>
  <c r="O539" i="9"/>
  <c r="M539" i="9"/>
  <c r="L539" i="9"/>
  <c r="K539" i="9"/>
  <c r="E539" i="9"/>
  <c r="D539" i="9"/>
  <c r="C539" i="9"/>
  <c r="E538" i="9"/>
  <c r="D538" i="9"/>
  <c r="Q535" i="9"/>
  <c r="P535" i="9"/>
  <c r="O535" i="9"/>
  <c r="M535" i="9"/>
  <c r="L535" i="9"/>
  <c r="E535" i="9"/>
  <c r="D535" i="9"/>
  <c r="C535" i="9"/>
  <c r="Q534" i="9"/>
  <c r="P534" i="9"/>
  <c r="O534" i="9"/>
  <c r="M534" i="9"/>
  <c r="L534" i="9"/>
  <c r="K534" i="9"/>
  <c r="E534" i="9"/>
  <c r="D534" i="9"/>
  <c r="C534" i="9"/>
  <c r="Q533" i="9"/>
  <c r="P533" i="9"/>
  <c r="O533" i="9"/>
  <c r="M533" i="9"/>
  <c r="L533" i="9"/>
  <c r="K533" i="9"/>
  <c r="E533" i="9"/>
  <c r="D533" i="9"/>
  <c r="C533" i="9"/>
  <c r="E532" i="9"/>
  <c r="D532" i="9"/>
  <c r="Q530" i="9"/>
  <c r="P530" i="9"/>
  <c r="O530" i="9"/>
  <c r="M530" i="9"/>
  <c r="L530" i="9"/>
  <c r="E530" i="9"/>
  <c r="D530" i="9"/>
  <c r="C530" i="9"/>
  <c r="Q529" i="9"/>
  <c r="P529" i="9"/>
  <c r="O529" i="9"/>
  <c r="M529" i="9"/>
  <c r="L529" i="9"/>
  <c r="K529" i="9"/>
  <c r="E529" i="9"/>
  <c r="D529" i="9"/>
  <c r="C529" i="9"/>
  <c r="Q528" i="9"/>
  <c r="P528" i="9"/>
  <c r="O528" i="9"/>
  <c r="M528" i="9"/>
  <c r="L528" i="9"/>
  <c r="K528" i="9"/>
  <c r="E528" i="9"/>
  <c r="D528" i="9"/>
  <c r="C528" i="9"/>
  <c r="E527" i="9"/>
  <c r="D527" i="9"/>
  <c r="Q525" i="9"/>
  <c r="P525" i="9"/>
  <c r="O525" i="9"/>
  <c r="M525" i="9"/>
  <c r="L525" i="9"/>
  <c r="E525" i="9"/>
  <c r="D525" i="9"/>
  <c r="C525" i="9"/>
  <c r="Q524" i="9"/>
  <c r="P524" i="9"/>
  <c r="O524" i="9"/>
  <c r="M524" i="9"/>
  <c r="L524" i="9"/>
  <c r="K524" i="9"/>
  <c r="E524" i="9"/>
  <c r="D524" i="9"/>
  <c r="C524" i="9"/>
  <c r="Q523" i="9"/>
  <c r="P523" i="9"/>
  <c r="O523" i="9"/>
  <c r="M523" i="9"/>
  <c r="L523" i="9"/>
  <c r="K523" i="9"/>
  <c r="E523" i="9"/>
  <c r="D523" i="9"/>
  <c r="C523" i="9"/>
  <c r="E522" i="9"/>
  <c r="D522" i="9"/>
  <c r="Q520" i="9"/>
  <c r="P520" i="9"/>
  <c r="O520" i="9"/>
  <c r="M520" i="9"/>
  <c r="L520" i="9"/>
  <c r="E520" i="9"/>
  <c r="D520" i="9"/>
  <c r="C520" i="9"/>
  <c r="Q519" i="9"/>
  <c r="P519" i="9"/>
  <c r="O519" i="9"/>
  <c r="M519" i="9"/>
  <c r="L519" i="9"/>
  <c r="K519" i="9"/>
  <c r="E519" i="9"/>
  <c r="D519" i="9"/>
  <c r="C519" i="9"/>
  <c r="Q518" i="9"/>
  <c r="P518" i="9"/>
  <c r="O518" i="9"/>
  <c r="M518" i="9"/>
  <c r="L518" i="9"/>
  <c r="K518" i="9"/>
  <c r="E518" i="9"/>
  <c r="D518" i="9"/>
  <c r="C518" i="9"/>
  <c r="E517" i="9"/>
  <c r="D517" i="9"/>
  <c r="Q515" i="9"/>
  <c r="P515" i="9"/>
  <c r="O515" i="9"/>
  <c r="M515" i="9"/>
  <c r="L515" i="9"/>
  <c r="E515" i="9"/>
  <c r="D515" i="9"/>
  <c r="C515" i="9"/>
  <c r="Q514" i="9"/>
  <c r="P514" i="9"/>
  <c r="O514" i="9"/>
  <c r="M514" i="9"/>
  <c r="L514" i="9"/>
  <c r="K514" i="9"/>
  <c r="E514" i="9"/>
  <c r="D514" i="9"/>
  <c r="C514" i="9"/>
  <c r="Q513" i="9"/>
  <c r="P513" i="9"/>
  <c r="O513" i="9"/>
  <c r="M513" i="9"/>
  <c r="L513" i="9"/>
  <c r="K513" i="9"/>
  <c r="E513" i="9"/>
  <c r="D513" i="9"/>
  <c r="C513" i="9"/>
  <c r="E512" i="9"/>
  <c r="D512" i="9"/>
  <c r="Q510" i="9"/>
  <c r="P510" i="9"/>
  <c r="O510" i="9"/>
  <c r="M510" i="9"/>
  <c r="L510" i="9"/>
  <c r="E510" i="9"/>
  <c r="D510" i="9"/>
  <c r="C510" i="9"/>
  <c r="Q509" i="9"/>
  <c r="P509" i="9"/>
  <c r="O509" i="9"/>
  <c r="M509" i="9"/>
  <c r="L509" i="9"/>
  <c r="K509" i="9"/>
  <c r="E509" i="9"/>
  <c r="D509" i="9"/>
  <c r="C509" i="9"/>
  <c r="Q508" i="9"/>
  <c r="P508" i="9"/>
  <c r="O508" i="9"/>
  <c r="M508" i="9"/>
  <c r="L508" i="9"/>
  <c r="K508" i="9"/>
  <c r="E508" i="9"/>
  <c r="D508" i="9"/>
  <c r="C508" i="9"/>
  <c r="E507" i="9"/>
  <c r="D507" i="9"/>
  <c r="M502" i="9"/>
  <c r="L502" i="9"/>
  <c r="K502" i="9"/>
  <c r="E502" i="9"/>
  <c r="D502" i="9"/>
  <c r="C502" i="9"/>
  <c r="E501" i="9"/>
  <c r="D501" i="9"/>
  <c r="C501" i="9"/>
  <c r="Q498" i="9"/>
  <c r="P498" i="9"/>
  <c r="O498" i="9"/>
  <c r="M498" i="9"/>
  <c r="L498" i="9"/>
  <c r="E498" i="9"/>
  <c r="D498" i="9"/>
  <c r="C498" i="9"/>
  <c r="E497" i="9"/>
  <c r="C497" i="9"/>
  <c r="Q496" i="9"/>
  <c r="P496" i="9"/>
  <c r="O496" i="9"/>
  <c r="M496" i="9"/>
  <c r="L496" i="9"/>
  <c r="K496" i="9"/>
  <c r="E496" i="9"/>
  <c r="D496" i="9"/>
  <c r="C496" i="9"/>
  <c r="Q495" i="9"/>
  <c r="P495" i="9"/>
  <c r="O495" i="9"/>
  <c r="M495" i="9"/>
  <c r="L495" i="9"/>
  <c r="K495" i="9"/>
  <c r="E495" i="9"/>
  <c r="D495" i="9"/>
  <c r="C495" i="9"/>
  <c r="D494" i="9"/>
  <c r="C494" i="9"/>
  <c r="E491" i="9"/>
  <c r="D491" i="9"/>
  <c r="C491" i="9"/>
  <c r="Q490" i="9"/>
  <c r="P490" i="9"/>
  <c r="M490" i="9"/>
  <c r="L490" i="9"/>
  <c r="K490" i="9"/>
  <c r="J490" i="9"/>
  <c r="E490" i="9"/>
  <c r="D490" i="9"/>
  <c r="C490" i="9"/>
  <c r="E487" i="9"/>
  <c r="D487" i="9"/>
  <c r="C487" i="9"/>
  <c r="Q486" i="9"/>
  <c r="P486" i="9"/>
  <c r="O486" i="9"/>
  <c r="M486" i="9"/>
  <c r="L486" i="9"/>
  <c r="K486" i="9"/>
  <c r="E486" i="9"/>
  <c r="D486" i="9"/>
  <c r="C486" i="9"/>
  <c r="E484" i="9"/>
  <c r="D484" i="9"/>
  <c r="C484" i="9"/>
  <c r="Q483" i="9"/>
  <c r="M483" i="9"/>
  <c r="L483" i="9"/>
  <c r="K483" i="9"/>
  <c r="E483" i="9"/>
  <c r="D483" i="9"/>
  <c r="C483" i="9"/>
  <c r="E481" i="9"/>
  <c r="D481" i="9"/>
  <c r="C481" i="9"/>
  <c r="Q480" i="9"/>
  <c r="P480" i="9"/>
  <c r="O480" i="9"/>
  <c r="M480" i="9"/>
  <c r="L480" i="9"/>
  <c r="K480" i="9"/>
  <c r="E480" i="9"/>
  <c r="D480" i="9"/>
  <c r="C480" i="9"/>
  <c r="E477" i="9"/>
  <c r="D477" i="9"/>
  <c r="C477" i="9"/>
  <c r="E476" i="9"/>
  <c r="D476" i="9"/>
  <c r="C476" i="9"/>
  <c r="Q475" i="9"/>
  <c r="P475" i="9"/>
  <c r="O475" i="9"/>
  <c r="M475" i="9"/>
  <c r="L475" i="9"/>
  <c r="E475" i="9"/>
  <c r="C475" i="9"/>
  <c r="P473" i="9"/>
  <c r="E473" i="9"/>
  <c r="D473" i="9"/>
  <c r="C473" i="9"/>
  <c r="P472" i="9"/>
  <c r="O472" i="9"/>
  <c r="E472" i="9"/>
  <c r="D472" i="9"/>
  <c r="C472" i="9"/>
  <c r="Q471" i="9"/>
  <c r="M471" i="9"/>
  <c r="L471" i="9"/>
  <c r="J471" i="9"/>
  <c r="E471" i="9"/>
  <c r="C471" i="9"/>
  <c r="Q468" i="9"/>
  <c r="P468" i="9"/>
  <c r="O468" i="9"/>
  <c r="M468" i="9"/>
  <c r="L468" i="9"/>
  <c r="E468" i="9"/>
  <c r="D468" i="9"/>
  <c r="C468" i="9"/>
  <c r="E467" i="9"/>
  <c r="D467" i="9"/>
  <c r="C467" i="9"/>
  <c r="Q465" i="9"/>
  <c r="P465" i="9"/>
  <c r="O465" i="9"/>
  <c r="M465" i="9"/>
  <c r="L465" i="9"/>
  <c r="K465" i="9"/>
  <c r="E465" i="9"/>
  <c r="D465" i="9"/>
  <c r="C465" i="9"/>
  <c r="Q464" i="9"/>
  <c r="P464" i="9"/>
  <c r="O464" i="9"/>
  <c r="M464" i="9"/>
  <c r="E464" i="9"/>
  <c r="D464" i="9"/>
  <c r="C464" i="9"/>
  <c r="Q463" i="9"/>
  <c r="P463" i="9"/>
  <c r="O463" i="9"/>
  <c r="M463" i="9"/>
  <c r="L463" i="9"/>
  <c r="E463" i="9"/>
  <c r="D463" i="9"/>
  <c r="C463" i="9"/>
  <c r="E462" i="9"/>
  <c r="D462" i="9"/>
  <c r="Q461" i="9"/>
  <c r="P461" i="9"/>
  <c r="O461" i="9"/>
  <c r="M461" i="9"/>
  <c r="L461" i="9"/>
  <c r="E461" i="9"/>
  <c r="D461" i="9"/>
  <c r="C461" i="9"/>
  <c r="Q460" i="9"/>
  <c r="P460" i="9"/>
  <c r="O460" i="9"/>
  <c r="M460" i="9"/>
  <c r="E460" i="9"/>
  <c r="D460" i="9"/>
  <c r="C460" i="9"/>
  <c r="Q459" i="9"/>
  <c r="P459" i="9"/>
  <c r="O459" i="9"/>
  <c r="M459" i="9"/>
  <c r="K459" i="9"/>
  <c r="E459" i="9"/>
  <c r="D459" i="9"/>
  <c r="C459" i="9"/>
  <c r="E458" i="9"/>
  <c r="D458" i="9"/>
  <c r="Q456" i="9"/>
  <c r="P456" i="9"/>
  <c r="O456" i="9"/>
  <c r="M456" i="9"/>
  <c r="L456" i="9"/>
  <c r="E456" i="9"/>
  <c r="D456" i="9"/>
  <c r="C456" i="9"/>
  <c r="E455" i="9"/>
  <c r="C455" i="9"/>
  <c r="Q454" i="9"/>
  <c r="P454" i="9"/>
  <c r="O454" i="9"/>
  <c r="M454" i="9"/>
  <c r="L454" i="9"/>
  <c r="E454" i="9"/>
  <c r="D454" i="9"/>
  <c r="C454" i="9"/>
  <c r="Q453" i="9"/>
  <c r="P453" i="9"/>
  <c r="O453" i="9"/>
  <c r="M453" i="9"/>
  <c r="E453" i="9"/>
  <c r="D453" i="9"/>
  <c r="C453" i="9"/>
  <c r="Q452" i="9"/>
  <c r="P452" i="9"/>
  <c r="O452" i="9"/>
  <c r="M452" i="9"/>
  <c r="L452" i="9"/>
  <c r="K452" i="9"/>
  <c r="E452" i="9"/>
  <c r="D452" i="9"/>
  <c r="C452" i="9"/>
  <c r="Q451" i="9"/>
  <c r="P451" i="9"/>
  <c r="O451" i="9"/>
  <c r="M451" i="9"/>
  <c r="L451" i="9"/>
  <c r="E451" i="9"/>
  <c r="D451" i="9"/>
  <c r="C451" i="9"/>
  <c r="D450" i="9"/>
  <c r="Q448" i="9"/>
  <c r="P448" i="9"/>
  <c r="O448" i="9"/>
  <c r="M448" i="9"/>
  <c r="L448" i="9"/>
  <c r="K448" i="9"/>
  <c r="E448" i="9"/>
  <c r="D448" i="9"/>
  <c r="C448" i="9"/>
  <c r="Q447" i="9"/>
  <c r="M447" i="9"/>
  <c r="L447" i="9"/>
  <c r="K447" i="9"/>
  <c r="E447" i="9"/>
  <c r="D447" i="9"/>
  <c r="C447" i="9"/>
  <c r="E446" i="9"/>
  <c r="C446" i="9"/>
  <c r="Q444" i="9"/>
  <c r="M444" i="9"/>
  <c r="L444" i="9"/>
  <c r="K444" i="9"/>
  <c r="E444" i="9"/>
  <c r="D444" i="9"/>
  <c r="C444" i="9"/>
  <c r="Q443" i="9"/>
  <c r="O443" i="9"/>
  <c r="M443" i="9"/>
  <c r="L443" i="9"/>
  <c r="K443" i="9"/>
  <c r="E443" i="9"/>
  <c r="D443" i="9"/>
  <c r="C443" i="9"/>
  <c r="E442" i="9"/>
  <c r="C442" i="9"/>
  <c r="Q441" i="9"/>
  <c r="M441" i="9"/>
  <c r="L441" i="9"/>
  <c r="K441" i="9"/>
  <c r="E441" i="9"/>
  <c r="D441" i="9"/>
  <c r="C441" i="9"/>
  <c r="E440" i="9"/>
  <c r="D440" i="9"/>
  <c r="C440" i="9"/>
  <c r="Q438" i="9"/>
  <c r="P438" i="9"/>
  <c r="O438" i="9"/>
  <c r="M438" i="9"/>
  <c r="L438" i="9"/>
  <c r="K438" i="9"/>
  <c r="E438" i="9"/>
  <c r="D438" i="9"/>
  <c r="C438" i="9"/>
  <c r="E437" i="9"/>
  <c r="D437" i="9"/>
  <c r="C437" i="9"/>
  <c r="Q435" i="9"/>
  <c r="P435" i="9"/>
  <c r="O435" i="9"/>
  <c r="M435" i="9"/>
  <c r="L435" i="9"/>
  <c r="K435" i="9"/>
  <c r="E435" i="9"/>
  <c r="D435" i="9"/>
  <c r="C435" i="9"/>
  <c r="Q434" i="9"/>
  <c r="O434" i="9"/>
  <c r="M434" i="9"/>
  <c r="L434" i="9"/>
  <c r="K434" i="9"/>
  <c r="E434" i="9"/>
  <c r="D434" i="9"/>
  <c r="C434" i="9"/>
  <c r="E433" i="9"/>
  <c r="C433" i="9"/>
  <c r="Q430" i="9"/>
  <c r="P430" i="9"/>
  <c r="O430" i="9"/>
  <c r="M430" i="9"/>
  <c r="L430" i="9"/>
  <c r="K430" i="9"/>
  <c r="E430" i="9"/>
  <c r="D430" i="9"/>
  <c r="C430" i="9"/>
  <c r="E429" i="9"/>
  <c r="D429" i="9"/>
  <c r="C429" i="9"/>
  <c r="Q428" i="9"/>
  <c r="M428" i="9"/>
  <c r="L428" i="9"/>
  <c r="K428" i="9"/>
  <c r="J428" i="9"/>
  <c r="E428" i="9"/>
  <c r="C428" i="9"/>
  <c r="Q426" i="9"/>
  <c r="P426" i="9"/>
  <c r="O426" i="9"/>
  <c r="M426" i="9"/>
  <c r="L426" i="9"/>
  <c r="K426" i="9"/>
  <c r="E426" i="9"/>
  <c r="D426" i="9"/>
  <c r="C426" i="9"/>
  <c r="E425" i="9"/>
  <c r="D425" i="9"/>
  <c r="C425" i="9"/>
  <c r="Q424" i="9"/>
  <c r="M424" i="9"/>
  <c r="L424" i="9"/>
  <c r="K424" i="9"/>
  <c r="J424" i="9"/>
  <c r="E424" i="9"/>
  <c r="C424" i="9"/>
  <c r="Q422" i="9"/>
  <c r="P422" i="9"/>
  <c r="O422" i="9"/>
  <c r="M422" i="9"/>
  <c r="L422" i="9"/>
  <c r="K422" i="9"/>
  <c r="E422" i="9"/>
  <c r="D422" i="9"/>
  <c r="C422" i="9"/>
  <c r="E421" i="9"/>
  <c r="D421" i="9"/>
  <c r="C421" i="9"/>
  <c r="Q420" i="9"/>
  <c r="M420" i="9"/>
  <c r="L420" i="9"/>
  <c r="K420" i="9"/>
  <c r="J420" i="9"/>
  <c r="E420" i="9"/>
  <c r="C420" i="9"/>
  <c r="Q417" i="9"/>
  <c r="P417" i="9"/>
  <c r="O417" i="9"/>
  <c r="M417" i="9"/>
  <c r="E417" i="9"/>
  <c r="D417" i="9"/>
  <c r="C417" i="9"/>
  <c r="E416" i="9"/>
  <c r="D416" i="9"/>
  <c r="C416" i="9"/>
  <c r="Q414" i="9"/>
  <c r="P414" i="9"/>
  <c r="M414" i="9"/>
  <c r="L414" i="9"/>
  <c r="K414" i="9"/>
  <c r="E414" i="9"/>
  <c r="D414" i="9"/>
  <c r="C414" i="9"/>
  <c r="E413" i="9"/>
  <c r="D413" i="9"/>
  <c r="C413" i="9"/>
  <c r="Q412" i="9"/>
  <c r="P412" i="9"/>
  <c r="M412" i="9"/>
  <c r="L412" i="9"/>
  <c r="J412" i="9"/>
  <c r="E412" i="9"/>
  <c r="C412" i="9"/>
  <c r="E410" i="9"/>
  <c r="D410" i="9"/>
  <c r="C410" i="9"/>
  <c r="Q409" i="9"/>
  <c r="M409" i="9"/>
  <c r="L409" i="9"/>
  <c r="J409" i="9"/>
  <c r="E409" i="9"/>
  <c r="D409" i="9"/>
  <c r="C409" i="9"/>
  <c r="Q406" i="9"/>
  <c r="P406" i="9"/>
  <c r="O406" i="9"/>
  <c r="M406" i="9"/>
  <c r="L406" i="9"/>
  <c r="K406" i="9"/>
  <c r="E406" i="9"/>
  <c r="D406" i="9"/>
  <c r="C406" i="9"/>
  <c r="E405" i="9"/>
  <c r="D405" i="9"/>
  <c r="C405" i="9"/>
  <c r="Q404" i="9"/>
  <c r="P404" i="9"/>
  <c r="O404" i="9"/>
  <c r="M404" i="9"/>
  <c r="L404" i="9"/>
  <c r="E404" i="9"/>
  <c r="D404" i="9"/>
  <c r="C404" i="9"/>
  <c r="E403" i="9"/>
  <c r="C403" i="9"/>
  <c r="Q402" i="9"/>
  <c r="P402" i="9"/>
  <c r="O402" i="9"/>
  <c r="M402" i="9"/>
  <c r="L402" i="9"/>
  <c r="E402" i="9"/>
  <c r="D402" i="9"/>
  <c r="C402" i="9"/>
  <c r="Q401" i="9"/>
  <c r="P401" i="9"/>
  <c r="O401" i="9"/>
  <c r="M401" i="9"/>
  <c r="E401" i="9"/>
  <c r="D401" i="9"/>
  <c r="C401" i="9"/>
  <c r="Q400" i="9"/>
  <c r="P400" i="9"/>
  <c r="O400" i="9"/>
  <c r="M400" i="9"/>
  <c r="L400" i="9"/>
  <c r="E400" i="9"/>
  <c r="D400" i="9"/>
  <c r="C400" i="9"/>
  <c r="E399" i="9"/>
  <c r="D399" i="9"/>
  <c r="Q397" i="9"/>
  <c r="P397" i="9"/>
  <c r="O397" i="9"/>
  <c r="M397" i="9"/>
  <c r="L397" i="9"/>
  <c r="K397" i="9"/>
  <c r="E397" i="9"/>
  <c r="D397" i="9"/>
  <c r="C397" i="9"/>
  <c r="Q396" i="9"/>
  <c r="P396" i="9"/>
  <c r="O396" i="9"/>
  <c r="M396" i="9"/>
  <c r="L396" i="9"/>
  <c r="K396" i="9"/>
  <c r="E396" i="9"/>
  <c r="D396" i="9"/>
  <c r="C396" i="9"/>
  <c r="E395" i="9"/>
  <c r="C395" i="9"/>
  <c r="Q393" i="9"/>
  <c r="P393" i="9"/>
  <c r="O393" i="9"/>
  <c r="M393" i="9"/>
  <c r="L393" i="9"/>
  <c r="K393" i="9"/>
  <c r="E393" i="9"/>
  <c r="D393" i="9"/>
  <c r="C393" i="9"/>
  <c r="E392" i="9"/>
  <c r="D392" i="9"/>
  <c r="C392" i="9"/>
  <c r="Q389" i="9"/>
  <c r="P389" i="9"/>
  <c r="O389" i="9"/>
  <c r="M389" i="9"/>
  <c r="L389" i="9"/>
  <c r="K389" i="9"/>
  <c r="E389" i="9"/>
  <c r="D389" i="9"/>
  <c r="C389" i="9"/>
  <c r="Q388" i="9"/>
  <c r="P388" i="9"/>
  <c r="O388" i="9"/>
  <c r="M388" i="9"/>
  <c r="L388" i="9"/>
  <c r="K388" i="9"/>
  <c r="E388" i="9"/>
  <c r="D388" i="9"/>
  <c r="C388" i="9"/>
  <c r="Q387" i="9"/>
  <c r="P387" i="9"/>
  <c r="O387" i="9"/>
  <c r="M387" i="9"/>
  <c r="E387" i="9"/>
  <c r="D387" i="9"/>
  <c r="C387" i="9"/>
  <c r="Q386" i="9"/>
  <c r="P386" i="9"/>
  <c r="O386" i="9"/>
  <c r="M386" i="9"/>
  <c r="L386" i="9"/>
  <c r="K386" i="9"/>
  <c r="E386" i="9"/>
  <c r="D386" i="9"/>
  <c r="C386" i="9"/>
  <c r="D385" i="9"/>
  <c r="Q383" i="9"/>
  <c r="M383" i="9"/>
  <c r="L383" i="9"/>
  <c r="K383" i="9"/>
  <c r="E383" i="9"/>
  <c r="D383" i="9"/>
  <c r="C383" i="9"/>
  <c r="E382" i="9"/>
  <c r="D382" i="9"/>
  <c r="C382" i="9"/>
  <c r="Q380" i="9"/>
  <c r="M380" i="9"/>
  <c r="L380" i="9"/>
  <c r="K380" i="9"/>
  <c r="E380" i="9"/>
  <c r="D380" i="9"/>
  <c r="C380" i="9"/>
  <c r="E379" i="9"/>
  <c r="D379" i="9"/>
  <c r="C379" i="9"/>
  <c r="Q377" i="9"/>
  <c r="P377" i="9"/>
  <c r="M377" i="9"/>
  <c r="L377" i="9"/>
  <c r="K377" i="9"/>
  <c r="E377" i="9"/>
  <c r="D377" i="9"/>
  <c r="C377" i="9"/>
  <c r="E376" i="9"/>
  <c r="D376" i="9"/>
  <c r="C376" i="9"/>
  <c r="Q374" i="9"/>
  <c r="P374" i="9"/>
  <c r="O374" i="9"/>
  <c r="M374" i="9"/>
  <c r="L374" i="9"/>
  <c r="K374" i="9"/>
  <c r="E374" i="9"/>
  <c r="D374" i="9"/>
  <c r="C374" i="9"/>
  <c r="Q373" i="9"/>
  <c r="M373" i="9"/>
  <c r="L373" i="9"/>
  <c r="K373" i="9"/>
  <c r="E373" i="9"/>
  <c r="D373" i="9"/>
  <c r="C373" i="9"/>
  <c r="E372" i="9"/>
  <c r="C372" i="9"/>
  <c r="Q368" i="9"/>
  <c r="P368" i="9"/>
  <c r="O368" i="9"/>
  <c r="L368" i="9"/>
  <c r="E368" i="9"/>
  <c r="D368" i="9"/>
  <c r="C368" i="9"/>
  <c r="E367" i="9"/>
  <c r="D367" i="9"/>
  <c r="C367" i="9"/>
  <c r="Q366" i="9"/>
  <c r="P366" i="9"/>
  <c r="O366" i="9"/>
  <c r="M366" i="9"/>
  <c r="E366" i="9"/>
  <c r="D366" i="9"/>
  <c r="C366" i="9"/>
  <c r="E365" i="9"/>
  <c r="D365" i="9"/>
  <c r="C365" i="9"/>
  <c r="Q362" i="9"/>
  <c r="P362" i="9"/>
  <c r="O362" i="9"/>
  <c r="M362" i="9"/>
  <c r="L362" i="9"/>
  <c r="K362" i="9"/>
  <c r="E362" i="9"/>
  <c r="D362" i="9"/>
  <c r="C362" i="9"/>
  <c r="E361" i="9"/>
  <c r="C361" i="9"/>
  <c r="Q360" i="9"/>
  <c r="P360" i="9"/>
  <c r="O360" i="9"/>
  <c r="M360" i="9"/>
  <c r="L360" i="9"/>
  <c r="E360" i="9"/>
  <c r="D360" i="9"/>
  <c r="C360" i="9"/>
  <c r="Q359" i="9"/>
  <c r="P359" i="9"/>
  <c r="O359" i="9"/>
  <c r="M359" i="9"/>
  <c r="L359" i="9"/>
  <c r="E359" i="9"/>
  <c r="D359" i="9"/>
  <c r="C359" i="9"/>
  <c r="Q358" i="9"/>
  <c r="P358" i="9"/>
  <c r="O358" i="9"/>
  <c r="M358" i="9"/>
  <c r="L358" i="9"/>
  <c r="E358" i="9"/>
  <c r="D358" i="9"/>
  <c r="C358" i="9"/>
  <c r="E357" i="9"/>
  <c r="D357" i="9"/>
  <c r="Q355" i="9"/>
  <c r="P355" i="9"/>
  <c r="O355" i="9"/>
  <c r="M355" i="9"/>
  <c r="L355" i="9"/>
  <c r="K355" i="9"/>
  <c r="E355" i="9"/>
  <c r="D355" i="9"/>
  <c r="C355" i="9"/>
  <c r="E354" i="9"/>
  <c r="C354" i="9"/>
  <c r="Q353" i="9"/>
  <c r="P353" i="9"/>
  <c r="O353" i="9"/>
  <c r="M353" i="9"/>
  <c r="L353" i="9"/>
  <c r="K353" i="9"/>
  <c r="E353" i="9"/>
  <c r="D353" i="9"/>
  <c r="C353" i="9"/>
  <c r="Q352" i="9"/>
  <c r="P352" i="9"/>
  <c r="O352" i="9"/>
  <c r="M352" i="9"/>
  <c r="L352" i="9"/>
  <c r="E352" i="9"/>
  <c r="D352" i="9"/>
  <c r="C352" i="9"/>
  <c r="Q351" i="9"/>
  <c r="P351" i="9"/>
  <c r="O351" i="9"/>
  <c r="M351" i="9"/>
  <c r="L351" i="9"/>
  <c r="E351" i="9"/>
  <c r="D351" i="9"/>
  <c r="C351" i="9"/>
  <c r="E350" i="9"/>
  <c r="D350" i="9"/>
  <c r="Q348" i="9"/>
  <c r="P348" i="9"/>
  <c r="O348" i="9"/>
  <c r="M348" i="9"/>
  <c r="L348" i="9"/>
  <c r="K348" i="9"/>
  <c r="E348" i="9"/>
  <c r="D348" i="9"/>
  <c r="C348" i="9"/>
  <c r="Q347" i="9"/>
  <c r="P347" i="9"/>
  <c r="O347" i="9"/>
  <c r="M347" i="9"/>
  <c r="L347" i="9"/>
  <c r="K347" i="9"/>
  <c r="E347" i="9"/>
  <c r="D347" i="9"/>
  <c r="C347" i="9"/>
  <c r="D346" i="9"/>
  <c r="C346" i="9"/>
  <c r="Q344" i="9"/>
  <c r="P344" i="9"/>
  <c r="O344" i="9"/>
  <c r="M344" i="9"/>
  <c r="L344" i="9"/>
  <c r="K344" i="9"/>
  <c r="E344" i="9"/>
  <c r="D344" i="9"/>
  <c r="C344" i="9"/>
  <c r="E343" i="9"/>
  <c r="D343" i="9"/>
  <c r="C343" i="9"/>
  <c r="M339" i="9"/>
  <c r="L339" i="9"/>
  <c r="K339" i="9"/>
  <c r="E339" i="9"/>
  <c r="D339" i="9"/>
  <c r="C339" i="9"/>
  <c r="E338" i="9"/>
  <c r="D338" i="9"/>
  <c r="C338" i="9"/>
  <c r="Q336" i="9"/>
  <c r="P336" i="9"/>
  <c r="O336" i="9"/>
  <c r="M336" i="9"/>
  <c r="L336" i="9"/>
  <c r="K336" i="9"/>
  <c r="E336" i="9"/>
  <c r="D336" i="9"/>
  <c r="C336" i="9"/>
  <c r="Q335" i="9"/>
  <c r="P335" i="9"/>
  <c r="O335" i="9"/>
  <c r="L335" i="9"/>
  <c r="K335" i="9"/>
  <c r="E335" i="9"/>
  <c r="D335" i="9"/>
  <c r="C335" i="9"/>
  <c r="D334" i="9"/>
  <c r="C334" i="9"/>
  <c r="Q332" i="9"/>
  <c r="P332" i="9"/>
  <c r="O332" i="9"/>
  <c r="M332" i="9"/>
  <c r="L332" i="9"/>
  <c r="K332" i="9"/>
  <c r="E332" i="9"/>
  <c r="D332" i="9"/>
  <c r="C332" i="9"/>
  <c r="E331" i="9"/>
  <c r="D331" i="9"/>
  <c r="C331" i="9"/>
  <c r="Q326" i="9"/>
  <c r="P326" i="9"/>
  <c r="O326" i="9"/>
  <c r="M326" i="9"/>
  <c r="L326" i="9"/>
  <c r="K326" i="9"/>
  <c r="E326" i="9"/>
  <c r="D326" i="9"/>
  <c r="C326" i="9"/>
  <c r="E325" i="9"/>
  <c r="D325" i="9"/>
  <c r="C325" i="9"/>
  <c r="Q322" i="9"/>
  <c r="P322" i="9"/>
  <c r="O322" i="9"/>
  <c r="M322" i="9"/>
  <c r="L322" i="9"/>
  <c r="K322" i="9"/>
  <c r="E322" i="9"/>
  <c r="D322" i="9"/>
  <c r="C322" i="9"/>
  <c r="Q321" i="9"/>
  <c r="P321" i="9"/>
  <c r="O321" i="9"/>
  <c r="M321" i="9"/>
  <c r="L321" i="9"/>
  <c r="K321" i="9"/>
  <c r="E321" i="9"/>
  <c r="D321" i="9"/>
  <c r="C321" i="9"/>
  <c r="Q319" i="9"/>
  <c r="P319" i="9"/>
  <c r="O319" i="9"/>
  <c r="M319" i="9"/>
  <c r="L319" i="9"/>
  <c r="K319" i="9"/>
  <c r="E319" i="9"/>
  <c r="D319" i="9"/>
  <c r="C319" i="9"/>
  <c r="E318" i="9"/>
  <c r="D318" i="9"/>
  <c r="Q315" i="9"/>
  <c r="P315" i="9"/>
  <c r="O315" i="9"/>
  <c r="M315" i="9"/>
  <c r="L315" i="9"/>
  <c r="E315" i="9"/>
  <c r="D315" i="9"/>
  <c r="C315" i="9"/>
  <c r="Q314" i="9"/>
  <c r="P314" i="9"/>
  <c r="O314" i="9"/>
  <c r="M314" i="9"/>
  <c r="L314" i="9"/>
  <c r="E314" i="9"/>
  <c r="D314" i="9"/>
  <c r="C314" i="9"/>
  <c r="E313" i="9"/>
  <c r="D313" i="9"/>
  <c r="Q312" i="9"/>
  <c r="P312" i="9"/>
  <c r="O312" i="9"/>
  <c r="L312" i="9"/>
  <c r="K312" i="9"/>
  <c r="E312" i="9"/>
  <c r="D312" i="9"/>
  <c r="C312" i="9"/>
  <c r="E311" i="9"/>
  <c r="D311" i="9"/>
  <c r="C311" i="9"/>
  <c r="Q308" i="9"/>
  <c r="P308" i="9"/>
  <c r="O308" i="9"/>
  <c r="M308" i="9"/>
  <c r="L308" i="9"/>
  <c r="K308" i="9"/>
  <c r="E308" i="9"/>
  <c r="D308" i="9"/>
  <c r="C308" i="9"/>
  <c r="Q307" i="9"/>
  <c r="P307" i="9"/>
  <c r="O307" i="9"/>
  <c r="L307" i="9"/>
  <c r="K307" i="9"/>
  <c r="E307" i="9"/>
  <c r="D307" i="9"/>
  <c r="C307" i="9"/>
  <c r="Q306" i="9"/>
  <c r="P306" i="9"/>
  <c r="O306" i="9"/>
  <c r="M306" i="9"/>
  <c r="L306" i="9"/>
  <c r="K306" i="9"/>
  <c r="E306" i="9"/>
  <c r="D306" i="9"/>
  <c r="C306" i="9"/>
  <c r="E305" i="9"/>
  <c r="D305" i="9"/>
  <c r="Q303" i="9"/>
  <c r="P303" i="9"/>
  <c r="O303" i="9"/>
  <c r="M303" i="9"/>
  <c r="L303" i="9"/>
  <c r="E303" i="9"/>
  <c r="D303" i="9"/>
  <c r="C303" i="9"/>
  <c r="Q302" i="9"/>
  <c r="P302" i="9"/>
  <c r="O302" i="9"/>
  <c r="M302" i="9"/>
  <c r="E302" i="9"/>
  <c r="D302" i="9"/>
  <c r="C302" i="9"/>
  <c r="Q301" i="9"/>
  <c r="P301" i="9"/>
  <c r="O301" i="9"/>
  <c r="M301" i="9"/>
  <c r="L301" i="9"/>
  <c r="K301" i="9"/>
  <c r="E301" i="9"/>
  <c r="D301" i="9"/>
  <c r="C301" i="9"/>
  <c r="E300" i="9"/>
  <c r="D300" i="9"/>
  <c r="Q298" i="9"/>
  <c r="P298" i="9"/>
  <c r="O298" i="9"/>
  <c r="M298" i="9"/>
  <c r="L298" i="9"/>
  <c r="E298" i="9"/>
  <c r="D298" i="9"/>
  <c r="C298" i="9"/>
  <c r="Q297" i="9"/>
  <c r="P297" i="9"/>
  <c r="O297" i="9"/>
  <c r="M297" i="9"/>
  <c r="L297" i="9"/>
  <c r="E297" i="9"/>
  <c r="D297" i="9"/>
  <c r="C297" i="9"/>
  <c r="Q296" i="9"/>
  <c r="P296" i="9"/>
  <c r="O296" i="9"/>
  <c r="M296" i="9"/>
  <c r="L296" i="9"/>
  <c r="K296" i="9"/>
  <c r="E296" i="9"/>
  <c r="D296" i="9"/>
  <c r="C296" i="9"/>
  <c r="E295" i="9"/>
  <c r="D295" i="9"/>
  <c r="Q291" i="9"/>
  <c r="P291" i="9"/>
  <c r="O291" i="9"/>
  <c r="L291" i="9"/>
  <c r="E291" i="9"/>
  <c r="D291" i="9"/>
  <c r="C291" i="9"/>
  <c r="E290" i="9"/>
  <c r="D290" i="9"/>
  <c r="C290" i="9"/>
  <c r="Q288" i="9"/>
  <c r="P288" i="9"/>
  <c r="O288" i="9"/>
  <c r="M288" i="9"/>
  <c r="L288" i="9"/>
  <c r="K288" i="9"/>
  <c r="E288" i="9"/>
  <c r="D288" i="9"/>
  <c r="C288" i="9"/>
  <c r="E287" i="9"/>
  <c r="D287" i="9"/>
  <c r="C287" i="9"/>
  <c r="Q285" i="9"/>
  <c r="P285" i="9"/>
  <c r="O285" i="9"/>
  <c r="M285" i="9"/>
  <c r="L285" i="9"/>
  <c r="K285" i="9"/>
  <c r="E285" i="9"/>
  <c r="D285" i="9"/>
  <c r="C285" i="9"/>
  <c r="E284" i="9"/>
  <c r="D284" i="9"/>
  <c r="C284" i="9"/>
  <c r="Q282" i="9"/>
  <c r="P282" i="9"/>
  <c r="O282" i="9"/>
  <c r="L282" i="9"/>
  <c r="K282" i="9"/>
  <c r="E282" i="9"/>
  <c r="D282" i="9"/>
  <c r="C282" i="9"/>
  <c r="E281" i="9"/>
  <c r="D281" i="9"/>
  <c r="C281" i="9"/>
  <c r="Q279" i="9"/>
  <c r="P279" i="9"/>
  <c r="O279" i="9"/>
  <c r="L279" i="9"/>
  <c r="K279" i="9"/>
  <c r="E279" i="9"/>
  <c r="D279" i="9"/>
  <c r="C279" i="9"/>
  <c r="E278" i="9"/>
  <c r="D278" i="9"/>
  <c r="C278" i="9"/>
  <c r="Q276" i="9"/>
  <c r="P276" i="9"/>
  <c r="O276" i="9"/>
  <c r="M276" i="9"/>
  <c r="L276" i="9"/>
  <c r="K276" i="9"/>
  <c r="E276" i="9"/>
  <c r="D276" i="9"/>
  <c r="C276" i="9"/>
  <c r="E275" i="9"/>
  <c r="D275" i="9"/>
  <c r="C275" i="9"/>
  <c r="Q273" i="9"/>
  <c r="P273" i="9"/>
  <c r="O273" i="9"/>
  <c r="M273" i="9"/>
  <c r="E273" i="9"/>
  <c r="D273" i="9"/>
  <c r="C273" i="9"/>
  <c r="Q272" i="9"/>
  <c r="P272" i="9"/>
  <c r="O272" i="9"/>
  <c r="M272" i="9"/>
  <c r="E272" i="9"/>
  <c r="D272" i="9"/>
  <c r="C272" i="9"/>
  <c r="Q271" i="9"/>
  <c r="P271" i="9"/>
  <c r="O271" i="9"/>
  <c r="M271" i="9"/>
  <c r="L271" i="9"/>
  <c r="E271" i="9"/>
  <c r="D271" i="9"/>
  <c r="C271" i="9"/>
  <c r="E270" i="9"/>
  <c r="D270" i="9"/>
  <c r="Q268" i="9"/>
  <c r="P268" i="9"/>
  <c r="O268" i="9"/>
  <c r="M268" i="9"/>
  <c r="L268" i="9"/>
  <c r="E268" i="9"/>
  <c r="D268" i="9"/>
  <c r="C268" i="9"/>
  <c r="Q267" i="9"/>
  <c r="P267" i="9"/>
  <c r="O267" i="9"/>
  <c r="M267" i="9"/>
  <c r="L267" i="9"/>
  <c r="E267" i="9"/>
  <c r="D267" i="9"/>
  <c r="C267" i="9"/>
  <c r="Q266" i="9"/>
  <c r="P266" i="9"/>
  <c r="O266" i="9"/>
  <c r="M266" i="9"/>
  <c r="L266" i="9"/>
  <c r="K266" i="9"/>
  <c r="E266" i="9"/>
  <c r="D266" i="9"/>
  <c r="C266" i="9"/>
  <c r="E265" i="9"/>
  <c r="D265" i="9"/>
  <c r="Q263" i="9"/>
  <c r="P263" i="9"/>
  <c r="O263" i="9"/>
  <c r="M263" i="9"/>
  <c r="L263" i="9"/>
  <c r="K263" i="9"/>
  <c r="E263" i="9"/>
  <c r="D263" i="9"/>
  <c r="C263" i="9"/>
  <c r="E262" i="9"/>
  <c r="D262" i="9"/>
  <c r="C262" i="9"/>
  <c r="Q260" i="9"/>
  <c r="P260" i="9"/>
  <c r="O260" i="9"/>
  <c r="L260" i="9"/>
  <c r="E260" i="9"/>
  <c r="D260" i="9"/>
  <c r="C260" i="9"/>
  <c r="E259" i="9"/>
  <c r="D259" i="9"/>
  <c r="C259" i="9"/>
  <c r="Q256" i="9"/>
  <c r="P256" i="9"/>
  <c r="O256" i="9"/>
  <c r="M256" i="9"/>
  <c r="L256" i="9"/>
  <c r="E256" i="9"/>
  <c r="D256" i="9"/>
  <c r="C256" i="9"/>
  <c r="E255" i="9"/>
  <c r="D255" i="9"/>
  <c r="C255" i="9"/>
  <c r="Q253" i="9"/>
  <c r="P253" i="9"/>
  <c r="O253" i="9"/>
  <c r="M253" i="9"/>
  <c r="L253" i="9"/>
  <c r="E253" i="9"/>
  <c r="D253" i="9"/>
  <c r="C253" i="9"/>
  <c r="E252" i="9"/>
  <c r="D252" i="9"/>
  <c r="C252" i="9"/>
  <c r="Q250" i="9"/>
  <c r="P250" i="9"/>
  <c r="O250" i="9"/>
  <c r="M250" i="9"/>
  <c r="L250" i="9"/>
  <c r="K250" i="9"/>
  <c r="E250" i="9"/>
  <c r="D250" i="9"/>
  <c r="C250" i="9"/>
  <c r="E249" i="9"/>
  <c r="C249" i="9"/>
  <c r="Q248" i="9"/>
  <c r="P248" i="9"/>
  <c r="O248" i="9"/>
  <c r="M248" i="9"/>
  <c r="L248" i="9"/>
  <c r="K248" i="9"/>
  <c r="E248" i="9"/>
  <c r="D248" i="9"/>
  <c r="C248" i="9"/>
  <c r="Q247" i="9"/>
  <c r="P247" i="9"/>
  <c r="O247" i="9"/>
  <c r="M247" i="9"/>
  <c r="E247" i="9"/>
  <c r="D247" i="9"/>
  <c r="C247" i="9"/>
  <c r="Q246" i="9"/>
  <c r="P246" i="9"/>
  <c r="O246" i="9"/>
  <c r="M246" i="9"/>
  <c r="E246" i="9"/>
  <c r="D246" i="9"/>
  <c r="C246" i="9"/>
  <c r="Q245" i="9"/>
  <c r="P245" i="9"/>
  <c r="O245" i="9"/>
  <c r="M245" i="9"/>
  <c r="L245" i="9"/>
  <c r="E245" i="9"/>
  <c r="D245" i="9"/>
  <c r="C245" i="9"/>
  <c r="D244" i="9"/>
  <c r="Q242" i="9"/>
  <c r="P242" i="9"/>
  <c r="O242" i="9"/>
  <c r="M242" i="9"/>
  <c r="L242" i="9"/>
  <c r="E242" i="9"/>
  <c r="D242" i="9"/>
  <c r="C242" i="9"/>
  <c r="E241" i="9"/>
  <c r="C241" i="9"/>
  <c r="Q240" i="9"/>
  <c r="P240" i="9"/>
  <c r="O240" i="9"/>
  <c r="M240" i="9"/>
  <c r="E240" i="9"/>
  <c r="D240" i="9"/>
  <c r="C240" i="9"/>
  <c r="Q239" i="9"/>
  <c r="P239" i="9"/>
  <c r="O239" i="9"/>
  <c r="M239" i="9"/>
  <c r="E239" i="9"/>
  <c r="D239" i="9"/>
  <c r="C239" i="9"/>
  <c r="Q238" i="9"/>
  <c r="P238" i="9"/>
  <c r="O238" i="9"/>
  <c r="M238" i="9"/>
  <c r="L238" i="9"/>
  <c r="K238" i="9"/>
  <c r="E238" i="9"/>
  <c r="D238" i="9"/>
  <c r="C238" i="9"/>
  <c r="E237" i="9"/>
  <c r="D237" i="9"/>
  <c r="Q235" i="9"/>
  <c r="P235" i="9"/>
  <c r="O235" i="9"/>
  <c r="M235" i="9"/>
  <c r="L235" i="9"/>
  <c r="K235" i="9"/>
  <c r="E235" i="9"/>
  <c r="D235" i="9"/>
  <c r="C235" i="9"/>
  <c r="E234" i="9"/>
  <c r="C234" i="9"/>
  <c r="Q233" i="9"/>
  <c r="P233" i="9"/>
  <c r="O233" i="9"/>
  <c r="M233" i="9"/>
  <c r="E233" i="9"/>
  <c r="D233" i="9"/>
  <c r="C233" i="9"/>
  <c r="Q232" i="9"/>
  <c r="P232" i="9"/>
  <c r="O232" i="9"/>
  <c r="M232" i="9"/>
  <c r="E232" i="9"/>
  <c r="D232" i="9"/>
  <c r="C232" i="9"/>
  <c r="Q231" i="9"/>
  <c r="P231" i="9"/>
  <c r="O231" i="9"/>
  <c r="M231" i="9"/>
  <c r="L231" i="9"/>
  <c r="E231" i="9"/>
  <c r="D231" i="9"/>
  <c r="C231" i="9"/>
  <c r="E230" i="9"/>
  <c r="D230" i="9"/>
  <c r="Q227" i="9"/>
  <c r="P227" i="9"/>
  <c r="O227" i="9"/>
  <c r="M227" i="9"/>
  <c r="L227" i="9"/>
  <c r="K227" i="9"/>
  <c r="E227" i="9"/>
  <c r="D227" i="9"/>
  <c r="C227" i="9"/>
  <c r="E226" i="9"/>
  <c r="D226" i="9"/>
  <c r="C226" i="9"/>
  <c r="Q224" i="9"/>
  <c r="P224" i="9"/>
  <c r="O224" i="9"/>
  <c r="M224" i="9"/>
  <c r="L224" i="9"/>
  <c r="K224" i="9"/>
  <c r="E224" i="9"/>
  <c r="D224" i="9"/>
  <c r="C224" i="9"/>
  <c r="E223" i="9"/>
  <c r="D223" i="9"/>
  <c r="C223" i="9"/>
  <c r="Q221" i="9"/>
  <c r="P221" i="9"/>
  <c r="O221" i="9"/>
  <c r="M221" i="9"/>
  <c r="L221" i="9"/>
  <c r="K221" i="9"/>
  <c r="E221" i="9"/>
  <c r="D221" i="9"/>
  <c r="C221" i="9"/>
  <c r="Q220" i="9"/>
  <c r="P220" i="9"/>
  <c r="O220" i="9"/>
  <c r="M220" i="9"/>
  <c r="L220" i="9"/>
  <c r="E220" i="9"/>
  <c r="D220" i="9"/>
  <c r="C220" i="9"/>
  <c r="Q219" i="9"/>
  <c r="P219" i="9"/>
  <c r="O219" i="9"/>
  <c r="L219" i="9"/>
  <c r="E219" i="9"/>
  <c r="D219" i="9"/>
  <c r="C219" i="9"/>
  <c r="E218" i="9"/>
  <c r="D218" i="9"/>
  <c r="Q216" i="9"/>
  <c r="P216" i="9"/>
  <c r="O216" i="9"/>
  <c r="M216" i="9"/>
  <c r="L216" i="9"/>
  <c r="E216" i="9"/>
  <c r="D216" i="9"/>
  <c r="C216" i="9"/>
  <c r="Q215" i="9"/>
  <c r="P215" i="9"/>
  <c r="O215" i="9"/>
  <c r="M215" i="9"/>
  <c r="L215" i="9"/>
  <c r="E215" i="9"/>
  <c r="D215" i="9"/>
  <c r="C215" i="9"/>
  <c r="Q214" i="9"/>
  <c r="P214" i="9"/>
  <c r="O214" i="9"/>
  <c r="L214" i="9"/>
  <c r="E214" i="9"/>
  <c r="D214" i="9"/>
  <c r="C214" i="9"/>
  <c r="E213" i="9"/>
  <c r="D213" i="9"/>
  <c r="Q211" i="9"/>
  <c r="P211" i="9"/>
  <c r="O211" i="9"/>
  <c r="L211" i="9"/>
  <c r="K211" i="9"/>
  <c r="E211" i="9"/>
  <c r="D211" i="9"/>
  <c r="C211" i="9"/>
  <c r="E210" i="9"/>
  <c r="D210" i="9"/>
  <c r="C210" i="9"/>
  <c r="Q208" i="9"/>
  <c r="P208" i="9"/>
  <c r="O208" i="9"/>
  <c r="M208" i="9"/>
  <c r="L208" i="9"/>
  <c r="E208" i="9"/>
  <c r="D208" i="9"/>
  <c r="C208" i="9"/>
  <c r="E207" i="9"/>
  <c r="C207" i="9"/>
  <c r="Q206" i="9"/>
  <c r="P206" i="9"/>
  <c r="O206" i="9"/>
  <c r="M206" i="9"/>
  <c r="L206" i="9"/>
  <c r="E206" i="9"/>
  <c r="D206" i="9"/>
  <c r="C206" i="9"/>
  <c r="Q205" i="9"/>
  <c r="P205" i="9"/>
  <c r="O205" i="9"/>
  <c r="M205" i="9"/>
  <c r="L205" i="9"/>
  <c r="E205" i="9"/>
  <c r="D205" i="9"/>
  <c r="C205" i="9"/>
  <c r="Q204" i="9"/>
  <c r="P204" i="9"/>
  <c r="O204" i="9"/>
  <c r="M204" i="9"/>
  <c r="L204" i="9"/>
  <c r="K204" i="9"/>
  <c r="E204" i="9"/>
  <c r="D204" i="9"/>
  <c r="C204" i="9"/>
  <c r="E203" i="9"/>
  <c r="D203" i="9"/>
  <c r="Q201" i="9"/>
  <c r="P201" i="9"/>
  <c r="O201" i="9"/>
  <c r="M201" i="9"/>
  <c r="L201" i="9"/>
  <c r="E201" i="9"/>
  <c r="D201" i="9"/>
  <c r="C201" i="9"/>
  <c r="E200" i="9"/>
  <c r="C200" i="9"/>
  <c r="Q199" i="9"/>
  <c r="P199" i="9"/>
  <c r="O199" i="9"/>
  <c r="M199" i="9"/>
  <c r="L199" i="9"/>
  <c r="K199" i="9"/>
  <c r="E199" i="9"/>
  <c r="D199" i="9"/>
  <c r="C199" i="9"/>
  <c r="Q198" i="9"/>
  <c r="P198" i="9"/>
  <c r="O198" i="9"/>
  <c r="M198" i="9"/>
  <c r="L198" i="9"/>
  <c r="E198" i="9"/>
  <c r="D198" i="9"/>
  <c r="C198" i="9"/>
  <c r="Q197" i="9"/>
  <c r="P197" i="9"/>
  <c r="O197" i="9"/>
  <c r="L197" i="9"/>
  <c r="E197" i="9"/>
  <c r="D197" i="9"/>
  <c r="C197" i="9"/>
  <c r="E196" i="9"/>
  <c r="D196" i="9"/>
  <c r="Q194" i="9"/>
  <c r="P194" i="9"/>
  <c r="O194" i="9"/>
  <c r="M194" i="9"/>
  <c r="L194" i="9"/>
  <c r="E194" i="9"/>
  <c r="D194" i="9"/>
  <c r="C194" i="9"/>
  <c r="E193" i="9"/>
  <c r="C193" i="9"/>
  <c r="Q192" i="9"/>
  <c r="P192" i="9"/>
  <c r="O192" i="9"/>
  <c r="M192" i="9"/>
  <c r="L192" i="9"/>
  <c r="E192" i="9"/>
  <c r="D192" i="9"/>
  <c r="C192" i="9"/>
  <c r="Q191" i="9"/>
  <c r="P191" i="9"/>
  <c r="O191" i="9"/>
  <c r="M191" i="9"/>
  <c r="L191" i="9"/>
  <c r="E191" i="9"/>
  <c r="D191" i="9"/>
  <c r="C191" i="9"/>
  <c r="Q190" i="9"/>
  <c r="P190" i="9"/>
  <c r="O190" i="9"/>
  <c r="M190" i="9"/>
  <c r="L190" i="9"/>
  <c r="K190" i="9"/>
  <c r="E190" i="9"/>
  <c r="D190" i="9"/>
  <c r="C190" i="9"/>
  <c r="E189" i="9"/>
  <c r="D189" i="9"/>
  <c r="Q187" i="9"/>
  <c r="P187" i="9"/>
  <c r="O187" i="9"/>
  <c r="M187" i="9"/>
  <c r="L187" i="9"/>
  <c r="K187" i="9"/>
  <c r="E187" i="9"/>
  <c r="D187" i="9"/>
  <c r="C187" i="9"/>
  <c r="Q186" i="9"/>
  <c r="P186" i="9"/>
  <c r="O186" i="9"/>
  <c r="M186" i="9"/>
  <c r="L186" i="9"/>
  <c r="E186" i="9"/>
  <c r="D186" i="9"/>
  <c r="C186" i="9"/>
  <c r="Q185" i="9"/>
  <c r="P185" i="9"/>
  <c r="O185" i="9"/>
  <c r="M185" i="9"/>
  <c r="L185" i="9"/>
  <c r="K185" i="9"/>
  <c r="E185" i="9"/>
  <c r="D185" i="9"/>
  <c r="C185" i="9"/>
  <c r="E184" i="9"/>
  <c r="D184" i="9"/>
  <c r="Q182" i="9"/>
  <c r="P182" i="9"/>
  <c r="O182" i="9"/>
  <c r="M182" i="9"/>
  <c r="L182" i="9"/>
  <c r="E182" i="9"/>
  <c r="D182" i="9"/>
  <c r="C182" i="9"/>
  <c r="E181" i="9"/>
  <c r="C181" i="9"/>
  <c r="Q180" i="9"/>
  <c r="P180" i="9"/>
  <c r="O180" i="9"/>
  <c r="L180" i="9"/>
  <c r="E180" i="9"/>
  <c r="D180" i="9"/>
  <c r="C180" i="9"/>
  <c r="E179" i="9"/>
  <c r="D179" i="9"/>
  <c r="C179" i="9"/>
  <c r="Q176" i="9"/>
  <c r="P176" i="9"/>
  <c r="O176" i="9"/>
  <c r="M176" i="9"/>
  <c r="L176" i="9"/>
  <c r="K176" i="9"/>
  <c r="E176" i="9"/>
  <c r="D176" i="9"/>
  <c r="C176" i="9"/>
  <c r="E175" i="9"/>
  <c r="D175" i="9"/>
  <c r="C175" i="9"/>
  <c r="Q173" i="9"/>
  <c r="P173" i="9"/>
  <c r="O173" i="9"/>
  <c r="M173" i="9"/>
  <c r="L173" i="9"/>
  <c r="E173" i="9"/>
  <c r="D173" i="9"/>
  <c r="C173" i="9"/>
  <c r="E172" i="9"/>
  <c r="D172" i="9"/>
  <c r="C172" i="9"/>
  <c r="Q170" i="9"/>
  <c r="P170" i="9"/>
  <c r="O170" i="9"/>
  <c r="M170" i="9"/>
  <c r="L170" i="9"/>
  <c r="K170" i="9"/>
  <c r="E170" i="9"/>
  <c r="D170" i="9"/>
  <c r="C170" i="9"/>
  <c r="E169" i="9"/>
  <c r="D169" i="9"/>
  <c r="C169" i="9"/>
  <c r="Q167" i="9"/>
  <c r="P167" i="9"/>
  <c r="O167" i="9"/>
  <c r="L167" i="9"/>
  <c r="K167" i="9"/>
  <c r="E167" i="9"/>
  <c r="D167" i="9"/>
  <c r="C167" i="9"/>
  <c r="E166" i="9"/>
  <c r="D166" i="9"/>
  <c r="C166" i="9"/>
  <c r="Q164" i="9"/>
  <c r="P164" i="9"/>
  <c r="O164" i="9"/>
  <c r="M164" i="9"/>
  <c r="L164" i="9"/>
  <c r="K164" i="9"/>
  <c r="E164" i="9"/>
  <c r="D164" i="9"/>
  <c r="C164" i="9"/>
  <c r="E163" i="9"/>
  <c r="D163" i="9"/>
  <c r="C163" i="9"/>
  <c r="Q161" i="9"/>
  <c r="P161" i="9"/>
  <c r="O161" i="9"/>
  <c r="L161" i="9"/>
  <c r="K161" i="9"/>
  <c r="E161" i="9"/>
  <c r="D161" i="9"/>
  <c r="C161" i="9"/>
  <c r="E160" i="9"/>
  <c r="D160" i="9"/>
  <c r="C160" i="9"/>
  <c r="Q158" i="9"/>
  <c r="P158" i="9"/>
  <c r="O158" i="9"/>
  <c r="M158" i="9"/>
  <c r="L158" i="9"/>
  <c r="K158" i="9"/>
  <c r="E158" i="9"/>
  <c r="D158" i="9"/>
  <c r="C158" i="9"/>
  <c r="E157" i="9"/>
  <c r="D157" i="9"/>
  <c r="C157" i="9"/>
  <c r="Q155" i="9"/>
  <c r="P155" i="9"/>
  <c r="O155" i="9"/>
  <c r="M155" i="9"/>
  <c r="L155" i="9"/>
  <c r="K155" i="9"/>
  <c r="E155" i="9"/>
  <c r="D155" i="9"/>
  <c r="C155" i="9"/>
  <c r="E154" i="9"/>
  <c r="D154" i="9"/>
  <c r="C154" i="9"/>
  <c r="Q152" i="9"/>
  <c r="P152" i="9"/>
  <c r="O152" i="9"/>
  <c r="M152" i="9"/>
  <c r="L152" i="9"/>
  <c r="E152" i="9"/>
  <c r="D152" i="9"/>
  <c r="C152" i="9"/>
  <c r="Q151" i="9"/>
  <c r="P151" i="9"/>
  <c r="O151" i="9"/>
  <c r="M151" i="9"/>
  <c r="L151" i="9"/>
  <c r="E151" i="9"/>
  <c r="D151" i="9"/>
  <c r="C151" i="9"/>
  <c r="Q150" i="9"/>
  <c r="P150" i="9"/>
  <c r="O150" i="9"/>
  <c r="M150" i="9"/>
  <c r="L150" i="9"/>
  <c r="K150" i="9"/>
  <c r="E150" i="9"/>
  <c r="D150" i="9"/>
  <c r="C150" i="9"/>
  <c r="E149" i="9"/>
  <c r="D149" i="9"/>
  <c r="Q145" i="9"/>
  <c r="P145" i="9"/>
  <c r="O145" i="9"/>
  <c r="M145" i="9"/>
  <c r="E145" i="9"/>
  <c r="D145" i="9"/>
  <c r="C145" i="9"/>
  <c r="E144" i="9"/>
  <c r="D144" i="9"/>
  <c r="C144" i="9"/>
  <c r="Q141" i="9"/>
  <c r="P141" i="9"/>
  <c r="O141" i="9"/>
  <c r="M141" i="9"/>
  <c r="L141" i="9"/>
  <c r="E141" i="9"/>
  <c r="D141" i="9"/>
  <c r="C141" i="9"/>
  <c r="E140" i="9"/>
  <c r="D140" i="9"/>
  <c r="C140" i="9"/>
  <c r="Q138" i="9"/>
  <c r="P138" i="9"/>
  <c r="O138" i="9"/>
  <c r="M138" i="9"/>
  <c r="E138" i="9"/>
  <c r="D138" i="9"/>
  <c r="C138" i="9"/>
  <c r="E137" i="9"/>
  <c r="D137" i="9"/>
  <c r="C137" i="9"/>
  <c r="Q135" i="9"/>
  <c r="P135" i="9"/>
  <c r="O135" i="9"/>
  <c r="M135" i="9"/>
  <c r="E135" i="9"/>
  <c r="D135" i="9"/>
  <c r="C135" i="9"/>
  <c r="Q134" i="9"/>
  <c r="P134" i="9"/>
  <c r="O134" i="9"/>
  <c r="M134" i="9"/>
  <c r="E134" i="9"/>
  <c r="D134" i="9"/>
  <c r="C134" i="9"/>
  <c r="Q133" i="9"/>
  <c r="P133" i="9"/>
  <c r="O133" i="9"/>
  <c r="M133" i="9"/>
  <c r="E133" i="9"/>
  <c r="D133" i="9"/>
  <c r="C133" i="9"/>
  <c r="E132" i="9"/>
  <c r="D132" i="9"/>
  <c r="Q130" i="9"/>
  <c r="P130" i="9"/>
  <c r="O130" i="9"/>
  <c r="M130" i="9"/>
  <c r="L130" i="9"/>
  <c r="K130" i="9"/>
  <c r="E130" i="9"/>
  <c r="D130" i="9"/>
  <c r="C130" i="9"/>
  <c r="Q129" i="9"/>
  <c r="P129" i="9"/>
  <c r="O129" i="9"/>
  <c r="M129" i="9"/>
  <c r="L129" i="9"/>
  <c r="K129" i="9"/>
  <c r="E129" i="9"/>
  <c r="D129" i="9"/>
  <c r="C129" i="9"/>
  <c r="Q128" i="9"/>
  <c r="P128" i="9"/>
  <c r="O128" i="9"/>
  <c r="M128" i="9"/>
  <c r="L128" i="9"/>
  <c r="D128" i="9"/>
  <c r="C128" i="9"/>
  <c r="Q125" i="9"/>
  <c r="P125" i="9"/>
  <c r="O125" i="9"/>
  <c r="M125" i="9"/>
  <c r="E125" i="9"/>
  <c r="D125" i="9"/>
  <c r="C125" i="9"/>
  <c r="E124" i="9"/>
  <c r="D124" i="9"/>
  <c r="C124" i="9"/>
  <c r="Q122" i="9"/>
  <c r="P122" i="9"/>
  <c r="O122" i="9"/>
  <c r="M122" i="9"/>
  <c r="E122" i="9"/>
  <c r="D122" i="9"/>
  <c r="C122" i="9"/>
  <c r="E121" i="9"/>
  <c r="D121" i="9"/>
  <c r="C121" i="9"/>
  <c r="Q119" i="9"/>
  <c r="P119" i="9"/>
  <c r="O119" i="9"/>
  <c r="M119" i="9"/>
  <c r="L119" i="9"/>
  <c r="K119" i="9"/>
  <c r="E119" i="9"/>
  <c r="D119" i="9"/>
  <c r="C119" i="9"/>
  <c r="Q118" i="9"/>
  <c r="P118" i="9"/>
  <c r="O118" i="9"/>
  <c r="M118" i="9"/>
  <c r="L118" i="9"/>
  <c r="K118" i="9"/>
  <c r="E118" i="9"/>
  <c r="D118" i="9"/>
  <c r="C118" i="9"/>
  <c r="D117" i="9"/>
  <c r="C117" i="9"/>
  <c r="Q116" i="9"/>
  <c r="P116" i="9"/>
  <c r="O116" i="9"/>
  <c r="M116" i="9"/>
  <c r="L116" i="9"/>
  <c r="K116" i="9"/>
  <c r="E116" i="9"/>
  <c r="D116" i="9"/>
  <c r="C116" i="9"/>
  <c r="Q115" i="9"/>
  <c r="P115" i="9"/>
  <c r="O115" i="9"/>
  <c r="M115" i="9"/>
  <c r="E115" i="9"/>
  <c r="D115" i="9"/>
  <c r="C115" i="9"/>
  <c r="Q114" i="9"/>
  <c r="P114" i="9"/>
  <c r="O114" i="9"/>
  <c r="M114" i="9"/>
  <c r="E114" i="9"/>
  <c r="D114" i="9"/>
  <c r="C114" i="9"/>
  <c r="Q113" i="9"/>
  <c r="P113" i="9"/>
  <c r="O113" i="9"/>
  <c r="M113" i="9"/>
  <c r="L113" i="9"/>
  <c r="K113" i="9"/>
  <c r="E113" i="9"/>
  <c r="D113" i="9"/>
  <c r="C113" i="9"/>
  <c r="D112" i="9"/>
  <c r="Q110" i="9"/>
  <c r="P110" i="9"/>
  <c r="O110" i="9"/>
  <c r="M110" i="9"/>
  <c r="L110" i="9"/>
  <c r="K110" i="9"/>
  <c r="E110" i="9"/>
  <c r="D110" i="9"/>
  <c r="C110" i="9"/>
  <c r="Q109" i="9"/>
  <c r="P109" i="9"/>
  <c r="O109" i="9"/>
  <c r="M109" i="9"/>
  <c r="L109" i="9"/>
  <c r="K109" i="9"/>
  <c r="E109" i="9"/>
  <c r="D109" i="9"/>
  <c r="C109" i="9"/>
  <c r="D108" i="9"/>
  <c r="C108" i="9"/>
  <c r="Q103" i="9"/>
  <c r="P103" i="9"/>
  <c r="O103" i="9"/>
  <c r="M103" i="9"/>
  <c r="E103" i="9"/>
  <c r="D103" i="9"/>
  <c r="C103" i="9"/>
  <c r="E102" i="9"/>
  <c r="D102" i="9"/>
  <c r="C102" i="9"/>
  <c r="Q99" i="9"/>
  <c r="P99" i="9"/>
  <c r="O99" i="9"/>
  <c r="M99" i="9"/>
  <c r="E99" i="9"/>
  <c r="D99" i="9"/>
  <c r="C99" i="9"/>
  <c r="E98" i="9"/>
  <c r="D98" i="9"/>
  <c r="C98" i="9"/>
  <c r="Q97" i="9"/>
  <c r="P97" i="9"/>
  <c r="O97" i="9"/>
  <c r="M97" i="9"/>
  <c r="L97" i="9"/>
  <c r="E97" i="9"/>
  <c r="D97" i="9"/>
  <c r="C97" i="9"/>
  <c r="E96" i="9"/>
  <c r="D96" i="9"/>
  <c r="C96" i="9"/>
  <c r="Q95" i="9"/>
  <c r="P95" i="9"/>
  <c r="O95" i="9"/>
  <c r="M95" i="9"/>
  <c r="E95" i="9"/>
  <c r="D95" i="9"/>
  <c r="C95" i="9"/>
  <c r="E94" i="9"/>
  <c r="D94" i="9"/>
  <c r="C94" i="9"/>
  <c r="Q91" i="9"/>
  <c r="P91" i="9"/>
  <c r="O91" i="9"/>
  <c r="M91" i="9"/>
  <c r="L91" i="9"/>
  <c r="E91" i="9"/>
  <c r="D91" i="9"/>
  <c r="C91" i="9"/>
  <c r="E90" i="9"/>
  <c r="D90" i="9"/>
  <c r="C90" i="9"/>
  <c r="Q89" i="9"/>
  <c r="P89" i="9"/>
  <c r="O89" i="9"/>
  <c r="M89" i="9"/>
  <c r="L89" i="9"/>
  <c r="E89" i="9"/>
  <c r="D89" i="9"/>
  <c r="C89" i="9"/>
  <c r="E88" i="9"/>
  <c r="D88" i="9"/>
  <c r="C88" i="9"/>
  <c r="Q87" i="9"/>
  <c r="P87" i="9"/>
  <c r="O87" i="9"/>
  <c r="M87" i="9"/>
  <c r="E87" i="9"/>
  <c r="D87" i="9"/>
  <c r="C87" i="9"/>
  <c r="E86" i="9"/>
  <c r="D86" i="9"/>
  <c r="C86" i="9"/>
  <c r="Q85" i="9"/>
  <c r="P85" i="9"/>
  <c r="O85" i="9"/>
  <c r="M85" i="9"/>
  <c r="L85" i="9"/>
  <c r="E85" i="9"/>
  <c r="D85" i="9"/>
  <c r="C85" i="9"/>
  <c r="E84" i="9"/>
  <c r="D84" i="9"/>
  <c r="C84" i="9"/>
  <c r="Q81" i="9"/>
  <c r="P81" i="9"/>
  <c r="O81" i="9"/>
  <c r="M81" i="9"/>
  <c r="E81" i="9"/>
  <c r="D81" i="9"/>
  <c r="C81" i="9"/>
  <c r="E80" i="9"/>
  <c r="D80" i="9"/>
  <c r="C80" i="9"/>
  <c r="Q76" i="9"/>
  <c r="P76" i="9"/>
  <c r="O76" i="9"/>
  <c r="M76" i="9"/>
  <c r="E76" i="9"/>
  <c r="D76" i="9"/>
  <c r="C76" i="9"/>
  <c r="E75" i="9"/>
  <c r="D75" i="9"/>
  <c r="C75" i="9"/>
  <c r="Q73" i="9"/>
  <c r="P73" i="9"/>
  <c r="O73" i="9"/>
  <c r="M73" i="9"/>
  <c r="L73" i="9"/>
  <c r="E73" i="9"/>
  <c r="D73" i="9"/>
  <c r="C73" i="9"/>
  <c r="Q72" i="9"/>
  <c r="P72" i="9"/>
  <c r="O72" i="9"/>
  <c r="M72" i="9"/>
  <c r="E72" i="9"/>
  <c r="D72" i="9"/>
  <c r="C72" i="9"/>
  <c r="Q71" i="9"/>
  <c r="P71" i="9"/>
  <c r="O71" i="9"/>
  <c r="M71" i="9"/>
  <c r="L71" i="9"/>
  <c r="K71" i="9"/>
  <c r="E71" i="9"/>
  <c r="D71" i="9"/>
  <c r="C71" i="9"/>
  <c r="E70" i="9"/>
  <c r="D70" i="9"/>
  <c r="Q69" i="9"/>
  <c r="P69" i="9"/>
  <c r="O69" i="9"/>
  <c r="M69" i="9"/>
  <c r="E69" i="9"/>
  <c r="D69" i="9"/>
  <c r="C69" i="9"/>
  <c r="E68" i="9"/>
  <c r="D68" i="9"/>
  <c r="C68" i="9"/>
  <c r="Q67" i="9"/>
  <c r="Q65" i="9"/>
  <c r="P65" i="9"/>
  <c r="O65" i="9"/>
  <c r="M65" i="9"/>
  <c r="E65" i="9"/>
  <c r="D65" i="9"/>
  <c r="C65" i="9"/>
  <c r="E64" i="9"/>
  <c r="D64" i="9"/>
  <c r="C64" i="9"/>
  <c r="Q62" i="9"/>
  <c r="P62" i="9"/>
  <c r="O62" i="9"/>
  <c r="M62" i="9"/>
  <c r="E62" i="9"/>
  <c r="D62" i="9"/>
  <c r="C62" i="9"/>
  <c r="E61" i="9"/>
  <c r="D61" i="9"/>
  <c r="C61" i="9"/>
  <c r="Q59" i="9"/>
  <c r="P59" i="9"/>
  <c r="O59" i="9"/>
  <c r="M59" i="9"/>
  <c r="L59" i="9"/>
  <c r="E59" i="9"/>
  <c r="D59" i="9"/>
  <c r="C59" i="9"/>
  <c r="Q58" i="9"/>
  <c r="P58" i="9"/>
  <c r="O58" i="9"/>
  <c r="M58" i="9"/>
  <c r="E58" i="9"/>
  <c r="D58" i="9"/>
  <c r="C58" i="9"/>
  <c r="D57" i="9"/>
  <c r="C57" i="9"/>
  <c r="Q54" i="9"/>
  <c r="P54" i="9"/>
  <c r="O54" i="9"/>
  <c r="M54" i="9"/>
  <c r="L54" i="9"/>
  <c r="E54" i="9"/>
  <c r="D54" i="9"/>
  <c r="C54" i="9"/>
  <c r="Q53" i="9"/>
  <c r="P53" i="9"/>
  <c r="O53" i="9"/>
  <c r="M53" i="9"/>
  <c r="E53" i="9"/>
  <c r="D53" i="9"/>
  <c r="C53" i="9"/>
  <c r="Q52" i="9"/>
  <c r="P52" i="9"/>
  <c r="O52" i="9"/>
  <c r="M52" i="9"/>
  <c r="E52" i="9"/>
  <c r="D52" i="9"/>
  <c r="C52" i="9"/>
  <c r="E51" i="9"/>
  <c r="D51" i="9"/>
  <c r="E49" i="9"/>
  <c r="D49" i="9"/>
  <c r="C49" i="9"/>
  <c r="Q48" i="9"/>
  <c r="P48" i="9"/>
  <c r="O48" i="9"/>
  <c r="M48" i="9"/>
  <c r="E48" i="9"/>
  <c r="D48" i="9"/>
  <c r="C48" i="9"/>
  <c r="Q45" i="9"/>
  <c r="P45" i="9"/>
  <c r="O45" i="9"/>
  <c r="M45" i="9"/>
  <c r="L45" i="9"/>
  <c r="E45" i="9"/>
  <c r="D45" i="9"/>
  <c r="C45" i="9"/>
  <c r="E44" i="9"/>
  <c r="D44" i="9"/>
  <c r="C44" i="9"/>
  <c r="Q43" i="9"/>
  <c r="P43" i="9"/>
  <c r="O43" i="9"/>
  <c r="M43" i="9"/>
  <c r="E43" i="9"/>
  <c r="D43" i="9"/>
  <c r="C43" i="9"/>
  <c r="E42" i="9"/>
  <c r="D42" i="9"/>
  <c r="C42" i="9"/>
  <c r="Q40" i="9"/>
  <c r="P40" i="9"/>
  <c r="O40" i="9"/>
  <c r="M40" i="9"/>
  <c r="L40" i="9"/>
  <c r="K40" i="9"/>
  <c r="E40" i="9"/>
  <c r="D40" i="9"/>
  <c r="C40" i="9"/>
  <c r="E39" i="9"/>
  <c r="D39" i="9"/>
  <c r="C39" i="9"/>
  <c r="Q38" i="9"/>
  <c r="P38" i="9"/>
  <c r="O38" i="9"/>
  <c r="M38" i="9"/>
  <c r="L38" i="9"/>
  <c r="E38" i="9"/>
  <c r="D38" i="9"/>
  <c r="C38" i="9"/>
  <c r="E37" i="9"/>
  <c r="D37" i="9"/>
  <c r="C37" i="9"/>
  <c r="Q36" i="9"/>
  <c r="P36" i="9"/>
  <c r="O36" i="9"/>
  <c r="M36" i="9"/>
  <c r="E36" i="9"/>
  <c r="D36" i="9"/>
  <c r="C36" i="9"/>
  <c r="E35" i="9"/>
  <c r="D35" i="9"/>
  <c r="C35" i="9"/>
  <c r="Q33" i="9"/>
  <c r="P33" i="9"/>
  <c r="O33" i="9"/>
  <c r="M33" i="9"/>
  <c r="L33" i="9"/>
  <c r="E33" i="9"/>
  <c r="D33" i="9"/>
  <c r="C33" i="9"/>
  <c r="E32" i="9"/>
  <c r="D32" i="9"/>
  <c r="C32" i="9"/>
  <c r="Q31" i="9"/>
  <c r="P31" i="9"/>
  <c r="O31" i="9"/>
  <c r="M31" i="9"/>
  <c r="E31" i="9"/>
  <c r="D31" i="9"/>
  <c r="C31" i="9"/>
  <c r="E30" i="9"/>
  <c r="D30" i="9"/>
  <c r="C30" i="9"/>
  <c r="Q28" i="9"/>
  <c r="P28" i="9"/>
  <c r="O28" i="9"/>
  <c r="M28" i="9"/>
  <c r="L28" i="9"/>
  <c r="K28" i="9"/>
  <c r="E28" i="9"/>
  <c r="D28" i="9"/>
  <c r="C28" i="9"/>
  <c r="Q27" i="9"/>
  <c r="P27" i="9"/>
  <c r="O27" i="9"/>
  <c r="M27" i="9"/>
  <c r="E27" i="9"/>
  <c r="D27" i="9"/>
  <c r="C27" i="9"/>
  <c r="D26" i="9"/>
  <c r="C26" i="9"/>
  <c r="Q25" i="9"/>
  <c r="P25" i="9"/>
  <c r="O25" i="9"/>
  <c r="M25" i="9"/>
  <c r="L25" i="9"/>
  <c r="E25" i="9"/>
  <c r="D25" i="9"/>
  <c r="C25" i="9"/>
  <c r="Q24" i="9"/>
  <c r="P24" i="9"/>
  <c r="O24" i="9"/>
  <c r="M24" i="9"/>
  <c r="L24" i="9"/>
  <c r="E24" i="9"/>
  <c r="D24" i="9"/>
  <c r="C24" i="9"/>
  <c r="Q23" i="9"/>
  <c r="P23" i="9"/>
  <c r="O23" i="9"/>
  <c r="M23" i="9"/>
  <c r="L23" i="9"/>
  <c r="K23" i="9"/>
  <c r="E23" i="9"/>
  <c r="D23" i="9"/>
  <c r="C23" i="9"/>
  <c r="E22" i="9"/>
  <c r="D22" i="9"/>
  <c r="Q21" i="9"/>
  <c r="P21" i="9"/>
  <c r="O21" i="9"/>
  <c r="M21" i="9"/>
  <c r="E21" i="9"/>
  <c r="D21" i="9"/>
  <c r="C21" i="9"/>
  <c r="E20" i="9"/>
  <c r="D20" i="9"/>
  <c r="C20" i="9"/>
  <c r="D19" i="9"/>
  <c r="F17" i="9"/>
  <c r="F16" i="9"/>
  <c r="F15" i="9"/>
  <c r="E15" i="9"/>
  <c r="C15" i="9"/>
  <c r="F14" i="9"/>
  <c r="D14" i="9"/>
  <c r="C14" i="9"/>
  <c r="F13" i="9"/>
  <c r="E13" i="9"/>
  <c r="D13" i="9"/>
  <c r="C13" i="9"/>
  <c r="F12" i="9"/>
  <c r="E12" i="9"/>
  <c r="D12" i="9"/>
  <c r="F11" i="9"/>
  <c r="E11" i="9"/>
  <c r="D11" i="9"/>
  <c r="F10" i="9"/>
  <c r="E10" i="9"/>
  <c r="D10" i="9"/>
  <c r="C10" i="9"/>
  <c r="F9" i="9"/>
  <c r="E9" i="9"/>
  <c r="D9" i="9"/>
  <c r="C9" i="9"/>
  <c r="F8" i="9"/>
  <c r="F7" i="9"/>
  <c r="E7" i="9"/>
  <c r="D7" i="9"/>
  <c r="C7" i="9"/>
  <c r="F6" i="9"/>
  <c r="E6" i="9"/>
  <c r="D6" i="9"/>
  <c r="C6" i="9"/>
  <c r="N631" i="13"/>
  <c r="J631" i="13"/>
  <c r="I631" i="13"/>
  <c r="H631" i="13"/>
  <c r="Q630" i="13"/>
  <c r="P630" i="13"/>
  <c r="O630" i="13"/>
  <c r="M630" i="13"/>
  <c r="L630" i="13"/>
  <c r="K630" i="13"/>
  <c r="O628" i="13"/>
  <c r="O628" i="9" s="1"/>
  <c r="J628" i="13"/>
  <c r="I628" i="13"/>
  <c r="Q627" i="13"/>
  <c r="P627" i="13"/>
  <c r="M627" i="13"/>
  <c r="L627" i="13"/>
  <c r="K627" i="13"/>
  <c r="N625" i="13"/>
  <c r="J625" i="13"/>
  <c r="I625" i="13"/>
  <c r="H625" i="13"/>
  <c r="Q624" i="13"/>
  <c r="P624" i="13"/>
  <c r="O624" i="13"/>
  <c r="M624" i="13"/>
  <c r="L624" i="13"/>
  <c r="K624" i="13"/>
  <c r="K623" i="13" s="1"/>
  <c r="N622" i="13"/>
  <c r="K622" i="13"/>
  <c r="K622" i="9" s="1"/>
  <c r="I622" i="13"/>
  <c r="Q621" i="13"/>
  <c r="P621" i="13"/>
  <c r="O621" i="13"/>
  <c r="M621" i="13"/>
  <c r="L621" i="13"/>
  <c r="E619" i="13"/>
  <c r="D619" i="13"/>
  <c r="C619" i="13"/>
  <c r="Q618" i="9"/>
  <c r="P618" i="13"/>
  <c r="P14" i="13" s="1"/>
  <c r="O618" i="13"/>
  <c r="O14" i="13" s="1"/>
  <c r="M618" i="13"/>
  <c r="M14" i="13" s="1"/>
  <c r="L618" i="13"/>
  <c r="L14" i="13" s="1"/>
  <c r="K618" i="13"/>
  <c r="K618" i="9" s="1"/>
  <c r="N617" i="13"/>
  <c r="J617" i="13"/>
  <c r="I617" i="13"/>
  <c r="I617" i="9" s="1"/>
  <c r="H617" i="13"/>
  <c r="D616" i="13"/>
  <c r="D616" i="9" s="1"/>
  <c r="C616" i="13"/>
  <c r="C616" i="9" s="1"/>
  <c r="M615" i="13"/>
  <c r="M615" i="9" s="1"/>
  <c r="Q614" i="9"/>
  <c r="P614" i="13"/>
  <c r="O614" i="13"/>
  <c r="M614" i="13"/>
  <c r="L614" i="13"/>
  <c r="K614" i="13"/>
  <c r="N613" i="13"/>
  <c r="N612" i="13" s="1"/>
  <c r="J613" i="13"/>
  <c r="I613" i="13"/>
  <c r="H613" i="13"/>
  <c r="P612" i="13"/>
  <c r="O612" i="13"/>
  <c r="M612" i="13"/>
  <c r="L612" i="13"/>
  <c r="K612" i="13"/>
  <c r="E612" i="13"/>
  <c r="D612" i="13"/>
  <c r="C612" i="13"/>
  <c r="P611" i="13"/>
  <c r="O611" i="13"/>
  <c r="M611" i="13"/>
  <c r="L611" i="13"/>
  <c r="K611" i="13"/>
  <c r="Q610" i="13"/>
  <c r="N610" i="13"/>
  <c r="J610" i="13"/>
  <c r="I610" i="13"/>
  <c r="H610" i="13"/>
  <c r="P609" i="13"/>
  <c r="O609" i="13"/>
  <c r="M609" i="13"/>
  <c r="L609" i="13"/>
  <c r="K609" i="13"/>
  <c r="N608" i="13"/>
  <c r="J608" i="13"/>
  <c r="I608" i="13"/>
  <c r="H608" i="13"/>
  <c r="P607" i="13"/>
  <c r="O607" i="13"/>
  <c r="M607" i="13"/>
  <c r="L607" i="13"/>
  <c r="K607" i="13"/>
  <c r="E607" i="13"/>
  <c r="D607" i="13"/>
  <c r="C607" i="13"/>
  <c r="Q606" i="13"/>
  <c r="P606" i="13"/>
  <c r="O606" i="13"/>
  <c r="M606" i="13"/>
  <c r="L606" i="13"/>
  <c r="K606" i="13"/>
  <c r="N605" i="13"/>
  <c r="N604" i="13" s="1"/>
  <c r="J605" i="13"/>
  <c r="J604" i="13" s="1"/>
  <c r="I605" i="13"/>
  <c r="H605" i="13"/>
  <c r="P604" i="13"/>
  <c r="O604" i="13"/>
  <c r="M604" i="13"/>
  <c r="L604" i="13"/>
  <c r="K604" i="13"/>
  <c r="E604" i="13"/>
  <c r="D604" i="13"/>
  <c r="C604" i="13"/>
  <c r="P603" i="13"/>
  <c r="O603" i="13"/>
  <c r="M603" i="13"/>
  <c r="L603" i="13"/>
  <c r="K603" i="13"/>
  <c r="Q602" i="13"/>
  <c r="N602" i="13"/>
  <c r="J602" i="13"/>
  <c r="I602" i="13"/>
  <c r="H602" i="13"/>
  <c r="Q601" i="13"/>
  <c r="P601" i="13"/>
  <c r="O601" i="13"/>
  <c r="M601" i="13"/>
  <c r="L601" i="13"/>
  <c r="K601" i="13"/>
  <c r="N600" i="13"/>
  <c r="J600" i="13"/>
  <c r="I600" i="13"/>
  <c r="H600" i="13"/>
  <c r="P599" i="13"/>
  <c r="O599" i="13"/>
  <c r="M599" i="13"/>
  <c r="L599" i="13"/>
  <c r="K599" i="13"/>
  <c r="E599" i="13"/>
  <c r="D599" i="13"/>
  <c r="C599" i="13"/>
  <c r="Q598" i="13"/>
  <c r="Q14" i="13" s="1"/>
  <c r="Q597" i="13"/>
  <c r="P597" i="13"/>
  <c r="O597" i="13"/>
  <c r="M597" i="13"/>
  <c r="L597" i="13"/>
  <c r="K597" i="13"/>
  <c r="N596" i="13"/>
  <c r="J596" i="13"/>
  <c r="I596" i="13"/>
  <c r="H596" i="13"/>
  <c r="Q595" i="13"/>
  <c r="P595" i="13"/>
  <c r="O595" i="13"/>
  <c r="M595" i="13"/>
  <c r="L595" i="13"/>
  <c r="K595" i="13"/>
  <c r="N594" i="13"/>
  <c r="J594" i="13"/>
  <c r="I594" i="13"/>
  <c r="H594" i="13"/>
  <c r="N592" i="13"/>
  <c r="J592" i="13"/>
  <c r="I592" i="13"/>
  <c r="H592" i="13"/>
  <c r="P591" i="13"/>
  <c r="O591" i="13"/>
  <c r="M591" i="13"/>
  <c r="L591" i="13"/>
  <c r="K591" i="13"/>
  <c r="D591" i="13"/>
  <c r="C591" i="13"/>
  <c r="Q590" i="13"/>
  <c r="P590" i="13"/>
  <c r="O590" i="13"/>
  <c r="M590" i="13"/>
  <c r="L590" i="13"/>
  <c r="K590" i="13"/>
  <c r="N589" i="13"/>
  <c r="J589" i="13"/>
  <c r="J590" i="13" s="1"/>
  <c r="I589" i="13"/>
  <c r="H589" i="13"/>
  <c r="P588" i="13"/>
  <c r="O588" i="13"/>
  <c r="M588" i="13"/>
  <c r="L588" i="13"/>
  <c r="K588" i="13"/>
  <c r="E588" i="13"/>
  <c r="D588" i="13"/>
  <c r="C588" i="13"/>
  <c r="Q587" i="13"/>
  <c r="P587" i="13"/>
  <c r="O587" i="13"/>
  <c r="M587" i="13"/>
  <c r="L587" i="13"/>
  <c r="K587" i="13"/>
  <c r="N586" i="13"/>
  <c r="J586" i="13"/>
  <c r="I586" i="13"/>
  <c r="H586" i="13"/>
  <c r="Q585" i="13"/>
  <c r="P585" i="13"/>
  <c r="O585" i="13"/>
  <c r="M585" i="13"/>
  <c r="L585" i="13"/>
  <c r="K585" i="13"/>
  <c r="N584" i="13"/>
  <c r="J584" i="13"/>
  <c r="J585" i="13" s="1"/>
  <c r="I584" i="13"/>
  <c r="H584" i="13"/>
  <c r="P583" i="13"/>
  <c r="O583" i="13"/>
  <c r="M583" i="13"/>
  <c r="L583" i="13"/>
  <c r="K583" i="13"/>
  <c r="E583" i="13"/>
  <c r="D583" i="13"/>
  <c r="C583" i="13"/>
  <c r="G582" i="13"/>
  <c r="P581" i="13"/>
  <c r="O581" i="13"/>
  <c r="N581" i="13"/>
  <c r="M581" i="13"/>
  <c r="L581" i="13"/>
  <c r="K581" i="13"/>
  <c r="J580" i="13"/>
  <c r="I580" i="13"/>
  <c r="H580" i="13"/>
  <c r="G579" i="13"/>
  <c r="Q578" i="13"/>
  <c r="P578" i="13"/>
  <c r="O578" i="13"/>
  <c r="N578" i="13"/>
  <c r="M578" i="13"/>
  <c r="L578" i="13"/>
  <c r="K578" i="13"/>
  <c r="J578" i="13"/>
  <c r="I578" i="13"/>
  <c r="H578" i="13"/>
  <c r="Q577" i="9"/>
  <c r="P577" i="13"/>
  <c r="O577" i="13"/>
  <c r="M577" i="13"/>
  <c r="L577" i="13"/>
  <c r="K577" i="13"/>
  <c r="N576" i="13"/>
  <c r="J576" i="13"/>
  <c r="I576" i="13"/>
  <c r="H576" i="13"/>
  <c r="P575" i="13"/>
  <c r="O575" i="13"/>
  <c r="M575" i="13"/>
  <c r="L575" i="13"/>
  <c r="K575" i="13"/>
  <c r="D575" i="13"/>
  <c r="C575" i="13"/>
  <c r="N571" i="13"/>
  <c r="N571" i="9" s="1"/>
  <c r="L571" i="13"/>
  <c r="L571" i="9" s="1"/>
  <c r="K571" i="13"/>
  <c r="K571" i="9" s="1"/>
  <c r="N570" i="13"/>
  <c r="J570" i="13"/>
  <c r="I570" i="13"/>
  <c r="I570" i="9" s="1"/>
  <c r="Q569" i="13"/>
  <c r="Q569" i="9" s="1"/>
  <c r="P569" i="13"/>
  <c r="P569" i="9" s="1"/>
  <c r="O569" i="13"/>
  <c r="O569" i="9" s="1"/>
  <c r="M569" i="13"/>
  <c r="E568" i="13"/>
  <c r="E568" i="9" s="1"/>
  <c r="D568" i="13"/>
  <c r="D568" i="9" s="1"/>
  <c r="N566" i="13"/>
  <c r="N566" i="9" s="1"/>
  <c r="L566" i="13"/>
  <c r="L566" i="9" s="1"/>
  <c r="K566" i="13"/>
  <c r="N565" i="13"/>
  <c r="K565" i="13"/>
  <c r="I565" i="13"/>
  <c r="I565" i="9" s="1"/>
  <c r="Q564" i="13"/>
  <c r="Q564" i="9" s="1"/>
  <c r="P564" i="13"/>
  <c r="O564" i="13"/>
  <c r="O564" i="9" s="1"/>
  <c r="M564" i="13"/>
  <c r="E563" i="13"/>
  <c r="E563" i="9" s="1"/>
  <c r="D563" i="13"/>
  <c r="D563" i="9" s="1"/>
  <c r="N561" i="13"/>
  <c r="J561" i="13"/>
  <c r="I561" i="13"/>
  <c r="H561" i="13"/>
  <c r="N560" i="13"/>
  <c r="I560" i="13"/>
  <c r="N559" i="13"/>
  <c r="J559" i="13"/>
  <c r="I559" i="13"/>
  <c r="H559" i="13"/>
  <c r="Q558" i="13"/>
  <c r="P558" i="13"/>
  <c r="O558" i="13"/>
  <c r="M558" i="13"/>
  <c r="L558" i="13"/>
  <c r="N556" i="13"/>
  <c r="J556" i="13"/>
  <c r="I556" i="13"/>
  <c r="H556" i="13"/>
  <c r="N555" i="13"/>
  <c r="H555" i="13"/>
  <c r="I555" i="13"/>
  <c r="N554" i="13"/>
  <c r="J554" i="13"/>
  <c r="I554" i="13"/>
  <c r="H554" i="13"/>
  <c r="Q553" i="13"/>
  <c r="P553" i="13"/>
  <c r="O553" i="13"/>
  <c r="M553" i="13"/>
  <c r="L553" i="13"/>
  <c r="E552" i="13"/>
  <c r="D552" i="13"/>
  <c r="N551" i="13"/>
  <c r="J551" i="13"/>
  <c r="I551" i="13"/>
  <c r="H551" i="13"/>
  <c r="N550" i="13"/>
  <c r="K550" i="13"/>
  <c r="I550" i="13"/>
  <c r="N549" i="13"/>
  <c r="J549" i="13"/>
  <c r="I549" i="13"/>
  <c r="H549" i="13"/>
  <c r="Q548" i="13"/>
  <c r="P548" i="13"/>
  <c r="O548" i="13"/>
  <c r="M548" i="13"/>
  <c r="L548" i="13"/>
  <c r="L547" i="13" s="1"/>
  <c r="E547" i="13"/>
  <c r="D547" i="13"/>
  <c r="N546" i="13"/>
  <c r="J546" i="13"/>
  <c r="I546" i="13"/>
  <c r="H546" i="13"/>
  <c r="N545" i="13"/>
  <c r="L545" i="13"/>
  <c r="K545" i="13"/>
  <c r="K543" i="13" s="1"/>
  <c r="N544" i="13"/>
  <c r="J544" i="13"/>
  <c r="I544" i="13"/>
  <c r="H544" i="13"/>
  <c r="Q543" i="13"/>
  <c r="P543" i="13"/>
  <c r="O543" i="13"/>
  <c r="M543" i="13"/>
  <c r="E542" i="13"/>
  <c r="D542" i="13"/>
  <c r="N541" i="13"/>
  <c r="J541" i="13"/>
  <c r="I541" i="13"/>
  <c r="H541" i="13"/>
  <c r="N540" i="13"/>
  <c r="L540" i="13"/>
  <c r="K540" i="13"/>
  <c r="K538" i="13" s="1"/>
  <c r="N539" i="13"/>
  <c r="J539" i="13"/>
  <c r="I539" i="13"/>
  <c r="H539" i="13"/>
  <c r="Q538" i="13"/>
  <c r="P538" i="13"/>
  <c r="O538" i="13"/>
  <c r="M538" i="13"/>
  <c r="E537" i="13"/>
  <c r="D537" i="13"/>
  <c r="N535" i="13"/>
  <c r="K535" i="13"/>
  <c r="I535" i="13"/>
  <c r="N534" i="13"/>
  <c r="J534" i="13"/>
  <c r="I534" i="13"/>
  <c r="H534" i="13"/>
  <c r="N533" i="13"/>
  <c r="J533" i="13"/>
  <c r="I533" i="13"/>
  <c r="H533" i="13"/>
  <c r="Q532" i="13"/>
  <c r="P532" i="13"/>
  <c r="O532" i="13"/>
  <c r="M532" i="13"/>
  <c r="L532" i="13"/>
  <c r="E531" i="13"/>
  <c r="D531" i="13"/>
  <c r="N530" i="13"/>
  <c r="I530" i="13"/>
  <c r="N529" i="13"/>
  <c r="J529" i="13"/>
  <c r="I529" i="13"/>
  <c r="H529" i="13"/>
  <c r="N528" i="13"/>
  <c r="J528" i="13"/>
  <c r="I528" i="13"/>
  <c r="H528" i="13"/>
  <c r="Q527" i="13"/>
  <c r="P527" i="13"/>
  <c r="O527" i="13"/>
  <c r="M527" i="13"/>
  <c r="L527" i="13"/>
  <c r="E526" i="13"/>
  <c r="D526" i="13"/>
  <c r="N525" i="13"/>
  <c r="I525" i="13"/>
  <c r="N524" i="13"/>
  <c r="J524" i="13"/>
  <c r="I524" i="13"/>
  <c r="H524" i="13"/>
  <c r="N523" i="13"/>
  <c r="J523" i="13"/>
  <c r="I523" i="13"/>
  <c r="H523" i="13"/>
  <c r="Q522" i="13"/>
  <c r="P522" i="13"/>
  <c r="O522" i="13"/>
  <c r="M522" i="13"/>
  <c r="L522" i="13"/>
  <c r="E521" i="13"/>
  <c r="D521" i="13"/>
  <c r="N520" i="13"/>
  <c r="K520" i="13"/>
  <c r="I520" i="13"/>
  <c r="N519" i="13"/>
  <c r="J519" i="13"/>
  <c r="I519" i="13"/>
  <c r="H519" i="13"/>
  <c r="N518" i="13"/>
  <c r="J518" i="13"/>
  <c r="I518" i="13"/>
  <c r="H518" i="13"/>
  <c r="Q517" i="13"/>
  <c r="P517" i="13"/>
  <c r="O517" i="13"/>
  <c r="M517" i="13"/>
  <c r="L517" i="13"/>
  <c r="E516" i="13"/>
  <c r="D516" i="13"/>
  <c r="N515" i="13"/>
  <c r="I515" i="13"/>
  <c r="N514" i="13"/>
  <c r="J514" i="13"/>
  <c r="I514" i="13"/>
  <c r="H514" i="13"/>
  <c r="N513" i="13"/>
  <c r="J513" i="13"/>
  <c r="I513" i="13"/>
  <c r="H513" i="13"/>
  <c r="Q512" i="13"/>
  <c r="P512" i="13"/>
  <c r="O512" i="13"/>
  <c r="M512" i="13"/>
  <c r="L512" i="13"/>
  <c r="E511" i="13"/>
  <c r="D511" i="13"/>
  <c r="N510" i="13"/>
  <c r="K510" i="13"/>
  <c r="I510" i="13"/>
  <c r="N509" i="13"/>
  <c r="J509" i="13"/>
  <c r="I509" i="13"/>
  <c r="H509" i="13"/>
  <c r="N508" i="13"/>
  <c r="J508" i="13"/>
  <c r="I508" i="13"/>
  <c r="H508" i="13"/>
  <c r="Q507" i="13"/>
  <c r="P507" i="13"/>
  <c r="O507" i="13"/>
  <c r="M507" i="13"/>
  <c r="L507" i="13"/>
  <c r="E506" i="13"/>
  <c r="D506" i="13"/>
  <c r="Q502" i="13"/>
  <c r="Q502" i="9" s="1"/>
  <c r="P502" i="13"/>
  <c r="P502" i="9" s="1"/>
  <c r="O502" i="13"/>
  <c r="O502" i="9" s="1"/>
  <c r="J502" i="13"/>
  <c r="J502" i="9" s="1"/>
  <c r="M501" i="13"/>
  <c r="M501" i="9" s="1"/>
  <c r="L501" i="13"/>
  <c r="K501" i="13"/>
  <c r="K501" i="9" s="1"/>
  <c r="E500" i="13"/>
  <c r="E500" i="9" s="1"/>
  <c r="D500" i="13"/>
  <c r="D500" i="9" s="1"/>
  <c r="C500" i="13"/>
  <c r="C500" i="9" s="1"/>
  <c r="N498" i="13"/>
  <c r="K498" i="13"/>
  <c r="K498" i="9" s="1"/>
  <c r="I498" i="13"/>
  <c r="I498" i="9" s="1"/>
  <c r="Q497" i="13"/>
  <c r="Q497" i="9" s="1"/>
  <c r="P497" i="13"/>
  <c r="P497" i="9" s="1"/>
  <c r="O497" i="13"/>
  <c r="O497" i="9" s="1"/>
  <c r="M497" i="13"/>
  <c r="M497" i="9" s="1"/>
  <c r="L497" i="13"/>
  <c r="L497" i="9" s="1"/>
  <c r="N496" i="13"/>
  <c r="N496" i="9" s="1"/>
  <c r="J496" i="13"/>
  <c r="I496" i="13"/>
  <c r="I496" i="9" s="1"/>
  <c r="H496" i="13"/>
  <c r="H496" i="9" s="1"/>
  <c r="N495" i="13"/>
  <c r="J495" i="13"/>
  <c r="I495" i="13"/>
  <c r="I495" i="9" s="1"/>
  <c r="H495" i="13"/>
  <c r="H495" i="9" s="1"/>
  <c r="Q494" i="13"/>
  <c r="P494" i="13"/>
  <c r="P494" i="9" s="1"/>
  <c r="O494" i="13"/>
  <c r="M494" i="13"/>
  <c r="L494" i="13"/>
  <c r="K494" i="13"/>
  <c r="C493" i="13"/>
  <c r="C493" i="9" s="1"/>
  <c r="Q491" i="13"/>
  <c r="P491" i="13"/>
  <c r="O491" i="13"/>
  <c r="M491" i="13"/>
  <c r="L491" i="13"/>
  <c r="K491" i="13"/>
  <c r="J491" i="13"/>
  <c r="I490" i="13"/>
  <c r="Q489" i="13"/>
  <c r="P489" i="13"/>
  <c r="M489" i="13"/>
  <c r="L489" i="13"/>
  <c r="K489" i="13"/>
  <c r="J489" i="13"/>
  <c r="E489" i="13"/>
  <c r="D489" i="13"/>
  <c r="C489" i="13"/>
  <c r="Q488" i="13"/>
  <c r="Q487" i="13"/>
  <c r="P487" i="13"/>
  <c r="O487" i="13"/>
  <c r="M487" i="13"/>
  <c r="L487" i="13"/>
  <c r="K487" i="13"/>
  <c r="N486" i="13"/>
  <c r="J486" i="13"/>
  <c r="I486" i="13"/>
  <c r="H486" i="13"/>
  <c r="Q485" i="13"/>
  <c r="P485" i="13"/>
  <c r="O485" i="13"/>
  <c r="M485" i="13"/>
  <c r="L485" i="13"/>
  <c r="K485" i="13"/>
  <c r="E485" i="13"/>
  <c r="D485" i="13"/>
  <c r="C485" i="13"/>
  <c r="Q484" i="13"/>
  <c r="O484" i="13"/>
  <c r="M484" i="13"/>
  <c r="L484" i="13"/>
  <c r="K484" i="13"/>
  <c r="P483" i="13"/>
  <c r="P483" i="9" s="1"/>
  <c r="J483" i="13"/>
  <c r="Q482" i="13"/>
  <c r="M482" i="13"/>
  <c r="L482" i="13"/>
  <c r="K482" i="13"/>
  <c r="E482" i="13"/>
  <c r="D482" i="13"/>
  <c r="C482" i="13"/>
  <c r="Q481" i="13"/>
  <c r="P481" i="13"/>
  <c r="O481" i="13"/>
  <c r="M481" i="13"/>
  <c r="L481" i="13"/>
  <c r="K481" i="13"/>
  <c r="N480" i="13"/>
  <c r="N479" i="13" s="1"/>
  <c r="J480" i="13"/>
  <c r="I480" i="13"/>
  <c r="H480" i="13"/>
  <c r="Q479" i="13"/>
  <c r="P479" i="13"/>
  <c r="O479" i="13"/>
  <c r="M479" i="13"/>
  <c r="L479" i="13"/>
  <c r="K479" i="13"/>
  <c r="E479" i="13"/>
  <c r="D479" i="13"/>
  <c r="C479" i="13"/>
  <c r="Q477" i="13"/>
  <c r="P477" i="13"/>
  <c r="O477" i="13"/>
  <c r="M477" i="13"/>
  <c r="L477" i="13"/>
  <c r="K477" i="13"/>
  <c r="N475" i="13"/>
  <c r="I475" i="13"/>
  <c r="Q474" i="13"/>
  <c r="P474" i="13"/>
  <c r="O474" i="13"/>
  <c r="M474" i="13"/>
  <c r="L474" i="13"/>
  <c r="E474" i="13"/>
  <c r="C474" i="13"/>
  <c r="Q473" i="13"/>
  <c r="O473" i="13"/>
  <c r="M473" i="13"/>
  <c r="L473" i="13"/>
  <c r="J473" i="13"/>
  <c r="N472" i="13"/>
  <c r="P471" i="13"/>
  <c r="K471" i="13"/>
  <c r="K470" i="13" s="1"/>
  <c r="Q470" i="13"/>
  <c r="M470" i="13"/>
  <c r="L470" i="13"/>
  <c r="J470" i="13"/>
  <c r="E470" i="13"/>
  <c r="C470" i="13"/>
  <c r="N468" i="13"/>
  <c r="K468" i="13"/>
  <c r="J468" i="13" s="1"/>
  <c r="I468" i="13"/>
  <c r="Q467" i="13"/>
  <c r="P467" i="13"/>
  <c r="O467" i="13"/>
  <c r="M467" i="13"/>
  <c r="L467" i="13"/>
  <c r="E466" i="13"/>
  <c r="D466" i="13"/>
  <c r="C466" i="13"/>
  <c r="N465" i="13"/>
  <c r="J465" i="13"/>
  <c r="I465" i="13"/>
  <c r="H465" i="13"/>
  <c r="N464" i="13"/>
  <c r="L464" i="13"/>
  <c r="K464" i="13"/>
  <c r="N463" i="13"/>
  <c r="K463" i="13"/>
  <c r="I463" i="13"/>
  <c r="Q462" i="13"/>
  <c r="P462" i="13"/>
  <c r="O462" i="13"/>
  <c r="M462" i="13"/>
  <c r="N461" i="13"/>
  <c r="H461" i="13"/>
  <c r="I461" i="13"/>
  <c r="N460" i="13"/>
  <c r="L460" i="13"/>
  <c r="L460" i="9" s="1"/>
  <c r="N459" i="13"/>
  <c r="H459" i="13"/>
  <c r="Q458" i="13"/>
  <c r="P458" i="13"/>
  <c r="O458" i="13"/>
  <c r="M458" i="13"/>
  <c r="E457" i="13"/>
  <c r="D457" i="13"/>
  <c r="N456" i="13"/>
  <c r="K456" i="13"/>
  <c r="K456" i="9" s="1"/>
  <c r="I456" i="13"/>
  <c r="Q455" i="13"/>
  <c r="P455" i="13"/>
  <c r="O455" i="13"/>
  <c r="M455" i="13"/>
  <c r="L455" i="13"/>
  <c r="N454" i="13"/>
  <c r="H454" i="13"/>
  <c r="I454" i="13"/>
  <c r="N453" i="13"/>
  <c r="L453" i="13"/>
  <c r="K453" i="13"/>
  <c r="N452" i="13"/>
  <c r="J452" i="13"/>
  <c r="I452" i="13"/>
  <c r="H452" i="13"/>
  <c r="N451" i="13"/>
  <c r="K451" i="13"/>
  <c r="K451" i="9" s="1"/>
  <c r="I451" i="13"/>
  <c r="Q450" i="13"/>
  <c r="P450" i="13"/>
  <c r="O450" i="13"/>
  <c r="M450" i="13"/>
  <c r="N448" i="13"/>
  <c r="J448" i="13"/>
  <c r="I448" i="13"/>
  <c r="H448" i="13"/>
  <c r="P447" i="13"/>
  <c r="P447" i="9" s="1"/>
  <c r="O447" i="13"/>
  <c r="O446" i="13" s="1"/>
  <c r="J447" i="13"/>
  <c r="Q446" i="13"/>
  <c r="M446" i="13"/>
  <c r="L446" i="13"/>
  <c r="K446" i="13"/>
  <c r="E445" i="13"/>
  <c r="C445" i="13"/>
  <c r="P444" i="13"/>
  <c r="I444" i="13" s="1"/>
  <c r="O444" i="13"/>
  <c r="H444" i="13" s="1"/>
  <c r="J444" i="13"/>
  <c r="P443" i="13"/>
  <c r="P443" i="9" s="1"/>
  <c r="J443" i="13"/>
  <c r="H443" i="13"/>
  <c r="Q442" i="13"/>
  <c r="M442" i="13"/>
  <c r="L442" i="13"/>
  <c r="K442" i="13"/>
  <c r="P441" i="13"/>
  <c r="P441" i="9" s="1"/>
  <c r="O441" i="13"/>
  <c r="O440" i="13" s="1"/>
  <c r="J441" i="13"/>
  <c r="Q440" i="13"/>
  <c r="M440" i="13"/>
  <c r="L440" i="13"/>
  <c r="K440" i="13"/>
  <c r="E439" i="13"/>
  <c r="C439" i="13"/>
  <c r="N438" i="13"/>
  <c r="J438" i="13"/>
  <c r="I438" i="13"/>
  <c r="H438" i="13"/>
  <c r="Q437" i="13"/>
  <c r="P437" i="13"/>
  <c r="O437" i="13"/>
  <c r="M437" i="13"/>
  <c r="L437" i="13"/>
  <c r="K437" i="13"/>
  <c r="E436" i="13"/>
  <c r="D436" i="13"/>
  <c r="C436" i="13"/>
  <c r="N435" i="13"/>
  <c r="J435" i="13"/>
  <c r="I435" i="13"/>
  <c r="H435" i="13"/>
  <c r="P434" i="13"/>
  <c r="J434" i="13"/>
  <c r="Q433" i="13"/>
  <c r="O433" i="13"/>
  <c r="M433" i="13"/>
  <c r="L433" i="13"/>
  <c r="K433" i="13"/>
  <c r="E432" i="13"/>
  <c r="C432" i="13"/>
  <c r="N430" i="13"/>
  <c r="J430" i="13"/>
  <c r="I430" i="13"/>
  <c r="H430" i="13"/>
  <c r="Q429" i="13"/>
  <c r="P429" i="13"/>
  <c r="O429" i="13"/>
  <c r="M429" i="13"/>
  <c r="L429" i="13"/>
  <c r="K429" i="13"/>
  <c r="J429" i="13"/>
  <c r="Q427" i="13"/>
  <c r="M427" i="13"/>
  <c r="L427" i="13"/>
  <c r="K427" i="13"/>
  <c r="J427" i="13"/>
  <c r="E427" i="13"/>
  <c r="C427" i="13"/>
  <c r="N426" i="13"/>
  <c r="J426" i="13"/>
  <c r="I426" i="13"/>
  <c r="H426" i="13"/>
  <c r="Q425" i="13"/>
  <c r="O425" i="13"/>
  <c r="O424" i="13" s="1"/>
  <c r="M425" i="13"/>
  <c r="L425" i="13"/>
  <c r="K425" i="13"/>
  <c r="J425" i="13"/>
  <c r="P424" i="13"/>
  <c r="Q423" i="13"/>
  <c r="M423" i="13"/>
  <c r="L423" i="13"/>
  <c r="K423" i="13"/>
  <c r="J423" i="13"/>
  <c r="E423" i="13"/>
  <c r="C423" i="13"/>
  <c r="N422" i="13"/>
  <c r="J422" i="13"/>
  <c r="I422" i="13"/>
  <c r="H422" i="13"/>
  <c r="Q421" i="13"/>
  <c r="P421" i="13"/>
  <c r="O421" i="13"/>
  <c r="M421" i="13"/>
  <c r="L421" i="13"/>
  <c r="K421" i="13"/>
  <c r="J421" i="13"/>
  <c r="Q419" i="13"/>
  <c r="M419" i="13"/>
  <c r="L419" i="13"/>
  <c r="K419" i="13"/>
  <c r="J419" i="13"/>
  <c r="E419" i="13"/>
  <c r="C419" i="13"/>
  <c r="N417" i="13"/>
  <c r="L417" i="13"/>
  <c r="K417" i="13"/>
  <c r="Q416" i="13"/>
  <c r="P416" i="13"/>
  <c r="O416" i="13"/>
  <c r="M416" i="13"/>
  <c r="E415" i="13"/>
  <c r="D415" i="13"/>
  <c r="C415" i="13"/>
  <c r="O414" i="13"/>
  <c r="J414" i="13"/>
  <c r="I414" i="13"/>
  <c r="Q413" i="13"/>
  <c r="P413" i="13"/>
  <c r="O413" i="13"/>
  <c r="M413" i="13"/>
  <c r="L413" i="13"/>
  <c r="J413" i="13"/>
  <c r="K412" i="13"/>
  <c r="K411" i="13" s="1"/>
  <c r="I412" i="13"/>
  <c r="Q411" i="13"/>
  <c r="P411" i="13"/>
  <c r="M411" i="13"/>
  <c r="L411" i="13"/>
  <c r="J411" i="13"/>
  <c r="E411" i="13"/>
  <c r="C411" i="13"/>
  <c r="Q410" i="13"/>
  <c r="P410" i="13"/>
  <c r="O410" i="13"/>
  <c r="M410" i="13"/>
  <c r="L410" i="13"/>
  <c r="J410" i="13"/>
  <c r="K409" i="13"/>
  <c r="K408" i="13" s="1"/>
  <c r="Q408" i="13"/>
  <c r="M408" i="13"/>
  <c r="L408" i="13"/>
  <c r="J408" i="13"/>
  <c r="E408" i="13"/>
  <c r="D408" i="13"/>
  <c r="C408" i="13"/>
  <c r="N406" i="13"/>
  <c r="J406" i="13"/>
  <c r="I406" i="13"/>
  <c r="H406" i="13"/>
  <c r="Q405" i="13"/>
  <c r="P405" i="13"/>
  <c r="O405" i="13"/>
  <c r="M405" i="13"/>
  <c r="L405" i="13"/>
  <c r="K405" i="13"/>
  <c r="N404" i="13"/>
  <c r="K404" i="13"/>
  <c r="K404" i="9" s="1"/>
  <c r="I404" i="13"/>
  <c r="Q403" i="13"/>
  <c r="P403" i="13"/>
  <c r="O403" i="13"/>
  <c r="M403" i="13"/>
  <c r="L403" i="13"/>
  <c r="N402" i="13"/>
  <c r="I402" i="13"/>
  <c r="N401" i="13"/>
  <c r="L401" i="13"/>
  <c r="K401" i="13"/>
  <c r="N400" i="13"/>
  <c r="K400" i="13"/>
  <c r="I400" i="13"/>
  <c r="Q399" i="13"/>
  <c r="P399" i="13"/>
  <c r="O399" i="13"/>
  <c r="M399" i="13"/>
  <c r="E398" i="13"/>
  <c r="N397" i="13"/>
  <c r="J397" i="13"/>
  <c r="I397" i="13"/>
  <c r="H397" i="13"/>
  <c r="I396" i="13"/>
  <c r="N396" i="13"/>
  <c r="J396" i="13"/>
  <c r="H396" i="13"/>
  <c r="Q395" i="13"/>
  <c r="P395" i="13"/>
  <c r="O395" i="13"/>
  <c r="M395" i="13"/>
  <c r="L395" i="13"/>
  <c r="K395" i="13"/>
  <c r="E394" i="13"/>
  <c r="C394" i="13"/>
  <c r="N393" i="13"/>
  <c r="J393" i="13"/>
  <c r="I393" i="13"/>
  <c r="H393" i="13"/>
  <c r="Q392" i="13"/>
  <c r="P392" i="13"/>
  <c r="O392" i="13"/>
  <c r="M392" i="13"/>
  <c r="L392" i="13"/>
  <c r="K392" i="13"/>
  <c r="E391" i="13"/>
  <c r="D391" i="13"/>
  <c r="C391" i="13"/>
  <c r="N389" i="13"/>
  <c r="J389" i="13"/>
  <c r="I389" i="13"/>
  <c r="H389" i="13"/>
  <c r="N388" i="13"/>
  <c r="J388" i="13"/>
  <c r="I388" i="13"/>
  <c r="H388" i="13"/>
  <c r="N387" i="13"/>
  <c r="L387" i="13"/>
  <c r="K387" i="13"/>
  <c r="K385" i="13" s="1"/>
  <c r="N386" i="13"/>
  <c r="J386" i="13"/>
  <c r="I386" i="13"/>
  <c r="H386" i="13"/>
  <c r="Q385" i="13"/>
  <c r="P385" i="13"/>
  <c r="O385" i="13"/>
  <c r="M385" i="13"/>
  <c r="D384" i="13"/>
  <c r="P383" i="13"/>
  <c r="P382" i="13" s="1"/>
  <c r="O383" i="13"/>
  <c r="J383" i="13"/>
  <c r="Q382" i="13"/>
  <c r="M382" i="13"/>
  <c r="L382" i="13"/>
  <c r="K382" i="13"/>
  <c r="E381" i="13"/>
  <c r="D381" i="13"/>
  <c r="C381" i="13"/>
  <c r="P380" i="13"/>
  <c r="O380" i="13"/>
  <c r="O380" i="9" s="1"/>
  <c r="J380" i="13"/>
  <c r="Q379" i="13"/>
  <c r="M379" i="13"/>
  <c r="L379" i="13"/>
  <c r="K379" i="13"/>
  <c r="E378" i="13"/>
  <c r="D378" i="13"/>
  <c r="C378" i="13"/>
  <c r="O377" i="13"/>
  <c r="O377" i="9" s="1"/>
  <c r="J377" i="13"/>
  <c r="J376" i="13" s="1"/>
  <c r="I377" i="13"/>
  <c r="Q376" i="13"/>
  <c r="P376" i="13"/>
  <c r="M376" i="13"/>
  <c r="L376" i="13"/>
  <c r="K376" i="13"/>
  <c r="E375" i="13"/>
  <c r="D375" i="13"/>
  <c r="C375" i="13"/>
  <c r="N374" i="13"/>
  <c r="J374" i="13"/>
  <c r="I374" i="13"/>
  <c r="H374" i="13"/>
  <c r="P373" i="13"/>
  <c r="P373" i="9" s="1"/>
  <c r="O373" i="13"/>
  <c r="O372" i="13" s="1"/>
  <c r="J373" i="13"/>
  <c r="Q372" i="13"/>
  <c r="M372" i="13"/>
  <c r="L372" i="13"/>
  <c r="K372" i="13"/>
  <c r="E371" i="13"/>
  <c r="C371" i="13"/>
  <c r="N368" i="13"/>
  <c r="N368" i="9" s="1"/>
  <c r="M368" i="13"/>
  <c r="M368" i="9" s="1"/>
  <c r="K368" i="13"/>
  <c r="K367" i="13" s="1"/>
  <c r="I368" i="13"/>
  <c r="I368" i="9" s="1"/>
  <c r="Q367" i="13"/>
  <c r="Q367" i="9" s="1"/>
  <c r="P367" i="13"/>
  <c r="P367" i="9" s="1"/>
  <c r="O367" i="13"/>
  <c r="O367" i="9" s="1"/>
  <c r="L367" i="13"/>
  <c r="N366" i="13"/>
  <c r="L366" i="13"/>
  <c r="L366" i="9" s="1"/>
  <c r="K366" i="13"/>
  <c r="Q365" i="13"/>
  <c r="Q365" i="9" s="1"/>
  <c r="P365" i="13"/>
  <c r="P365" i="9" s="1"/>
  <c r="O365" i="13"/>
  <c r="O365" i="9" s="1"/>
  <c r="M365" i="13"/>
  <c r="E364" i="13"/>
  <c r="E364" i="9" s="1"/>
  <c r="D364" i="13"/>
  <c r="D364" i="9" s="1"/>
  <c r="C364" i="13"/>
  <c r="N362" i="13"/>
  <c r="N361" i="13" s="1"/>
  <c r="J362" i="13"/>
  <c r="I362" i="13"/>
  <c r="H362" i="13"/>
  <c r="Q361" i="13"/>
  <c r="P361" i="13"/>
  <c r="O361" i="13"/>
  <c r="M361" i="13"/>
  <c r="L361" i="13"/>
  <c r="K361" i="13"/>
  <c r="N360" i="13"/>
  <c r="K360" i="13"/>
  <c r="I360" i="13"/>
  <c r="N359" i="13"/>
  <c r="K359" i="13"/>
  <c r="H359" i="13" s="1"/>
  <c r="I359" i="13"/>
  <c r="N358" i="13"/>
  <c r="I358" i="13"/>
  <c r="Q357" i="13"/>
  <c r="P357" i="13"/>
  <c r="O357" i="13"/>
  <c r="M357" i="13"/>
  <c r="L357" i="13"/>
  <c r="E356" i="13"/>
  <c r="N355" i="13"/>
  <c r="J355" i="13"/>
  <c r="I355" i="13"/>
  <c r="H355" i="13"/>
  <c r="Q354" i="13"/>
  <c r="P354" i="13"/>
  <c r="O354" i="13"/>
  <c r="M354" i="13"/>
  <c r="L354" i="13"/>
  <c r="K354" i="13"/>
  <c r="N353" i="13"/>
  <c r="J353" i="13"/>
  <c r="I353" i="13"/>
  <c r="H353" i="13"/>
  <c r="N352" i="13"/>
  <c r="K352" i="13"/>
  <c r="J352" i="13" s="1"/>
  <c r="I352" i="13"/>
  <c r="N351" i="13"/>
  <c r="K351" i="13"/>
  <c r="I351" i="13"/>
  <c r="Q350" i="13"/>
  <c r="P350" i="13"/>
  <c r="O350" i="13"/>
  <c r="M350" i="13"/>
  <c r="L350" i="13"/>
  <c r="E349" i="13"/>
  <c r="N348" i="13"/>
  <c r="J348" i="13"/>
  <c r="I348" i="13"/>
  <c r="H348" i="13"/>
  <c r="N347" i="13"/>
  <c r="J347" i="13"/>
  <c r="I347" i="13"/>
  <c r="H347" i="13"/>
  <c r="Q346" i="13"/>
  <c r="P346" i="13"/>
  <c r="O346" i="13"/>
  <c r="M346" i="13"/>
  <c r="L346" i="13"/>
  <c r="K346" i="13"/>
  <c r="D345" i="13"/>
  <c r="C345" i="13"/>
  <c r="N344" i="13"/>
  <c r="J344" i="13"/>
  <c r="I344" i="13"/>
  <c r="H344" i="13"/>
  <c r="Q343" i="13"/>
  <c r="P343" i="13"/>
  <c r="O343" i="13"/>
  <c r="M343" i="13"/>
  <c r="L343" i="13"/>
  <c r="K343" i="13"/>
  <c r="E342" i="13"/>
  <c r="D342" i="13"/>
  <c r="C342" i="13"/>
  <c r="N339" i="13"/>
  <c r="J339" i="13"/>
  <c r="J338" i="13" s="1"/>
  <c r="I339" i="13"/>
  <c r="H339" i="13"/>
  <c r="E337" i="13"/>
  <c r="D337" i="13"/>
  <c r="C337" i="13"/>
  <c r="N336" i="13"/>
  <c r="J336" i="13"/>
  <c r="I336" i="13"/>
  <c r="H336" i="13"/>
  <c r="N335" i="13"/>
  <c r="M335" i="13"/>
  <c r="J335" i="13"/>
  <c r="I335" i="13"/>
  <c r="H335" i="13"/>
  <c r="Q334" i="13"/>
  <c r="P334" i="13"/>
  <c r="O334" i="13"/>
  <c r="L334" i="13"/>
  <c r="K334" i="13"/>
  <c r="D333" i="13"/>
  <c r="C333" i="13"/>
  <c r="N332" i="13"/>
  <c r="J332" i="13"/>
  <c r="I332" i="13"/>
  <c r="H332" i="13"/>
  <c r="Q331" i="13"/>
  <c r="P331" i="13"/>
  <c r="O331" i="13"/>
  <c r="M331" i="13"/>
  <c r="L331" i="13"/>
  <c r="K331" i="13"/>
  <c r="E330" i="13"/>
  <c r="D330" i="13"/>
  <c r="C330" i="13"/>
  <c r="N326" i="13"/>
  <c r="N326" i="9" s="1"/>
  <c r="J326" i="13"/>
  <c r="J326" i="9" s="1"/>
  <c r="I326" i="13"/>
  <c r="I326" i="9" s="1"/>
  <c r="H326" i="13"/>
  <c r="H326" i="9" s="1"/>
  <c r="Q325" i="13"/>
  <c r="Q325" i="9" s="1"/>
  <c r="P325" i="13"/>
  <c r="P325" i="9" s="1"/>
  <c r="O325" i="13"/>
  <c r="O325" i="9" s="1"/>
  <c r="M325" i="13"/>
  <c r="L325" i="13"/>
  <c r="K325" i="13"/>
  <c r="E324" i="13"/>
  <c r="E324" i="9" s="1"/>
  <c r="D324" i="13"/>
  <c r="D324" i="9" s="1"/>
  <c r="C324" i="13"/>
  <c r="C324" i="9" s="1"/>
  <c r="N322" i="13"/>
  <c r="N322" i="9" s="1"/>
  <c r="J322" i="13"/>
  <c r="I322" i="13"/>
  <c r="I322" i="9" s="1"/>
  <c r="H322" i="13"/>
  <c r="H322" i="9" s="1"/>
  <c r="N321" i="13"/>
  <c r="J321" i="13"/>
  <c r="I321" i="13"/>
  <c r="I321" i="9" s="1"/>
  <c r="H321" i="13"/>
  <c r="H321" i="9" s="1"/>
  <c r="N319" i="13"/>
  <c r="N318" i="13" s="1"/>
  <c r="J319" i="13"/>
  <c r="I319" i="13"/>
  <c r="I319" i="9" s="1"/>
  <c r="H319" i="13"/>
  <c r="H319" i="9" s="1"/>
  <c r="Q318" i="9"/>
  <c r="P318" i="9"/>
  <c r="O318" i="9"/>
  <c r="M318" i="9"/>
  <c r="L318" i="9"/>
  <c r="K318" i="9"/>
  <c r="E317" i="9"/>
  <c r="D317" i="9"/>
  <c r="N315" i="13"/>
  <c r="N315" i="9" s="1"/>
  <c r="K315" i="13"/>
  <c r="K315" i="9" s="1"/>
  <c r="I315" i="13"/>
  <c r="I315" i="9" s="1"/>
  <c r="N314" i="13"/>
  <c r="K314" i="13"/>
  <c r="K314" i="9" s="1"/>
  <c r="I314" i="13"/>
  <c r="I314" i="9" s="1"/>
  <c r="Q313" i="13"/>
  <c r="Q313" i="9" s="1"/>
  <c r="P313" i="13"/>
  <c r="P313" i="9" s="1"/>
  <c r="O313" i="13"/>
  <c r="M313" i="13"/>
  <c r="M313" i="9" s="1"/>
  <c r="L313" i="13"/>
  <c r="L313" i="9" s="1"/>
  <c r="N312" i="13"/>
  <c r="N312" i="9" s="1"/>
  <c r="M312" i="13"/>
  <c r="M312" i="9" s="1"/>
  <c r="J312" i="13"/>
  <c r="I312" i="13"/>
  <c r="H312" i="13"/>
  <c r="Q311" i="13"/>
  <c r="P311" i="13"/>
  <c r="P311" i="9" s="1"/>
  <c r="O311" i="13"/>
  <c r="O311" i="9" s="1"/>
  <c r="L311" i="13"/>
  <c r="L311" i="9" s="1"/>
  <c r="K311" i="13"/>
  <c r="E310" i="13"/>
  <c r="E310" i="9" s="1"/>
  <c r="D310" i="13"/>
  <c r="D310" i="9" s="1"/>
  <c r="N308" i="13"/>
  <c r="J308" i="13"/>
  <c r="I308" i="13"/>
  <c r="H308" i="13"/>
  <c r="N307" i="13"/>
  <c r="M307" i="13"/>
  <c r="M307" i="9" s="1"/>
  <c r="J307" i="13"/>
  <c r="I307" i="13"/>
  <c r="H307" i="13"/>
  <c r="N306" i="13"/>
  <c r="J306" i="13"/>
  <c r="I306" i="13"/>
  <c r="H306" i="13"/>
  <c r="Q305" i="13"/>
  <c r="P305" i="13"/>
  <c r="O305" i="13"/>
  <c r="L305" i="13"/>
  <c r="K305" i="13"/>
  <c r="E304" i="13"/>
  <c r="D304" i="13"/>
  <c r="N303" i="13"/>
  <c r="K303" i="13"/>
  <c r="I303" i="13"/>
  <c r="N302" i="13"/>
  <c r="L302" i="13"/>
  <c r="L302" i="9" s="1"/>
  <c r="K302" i="13"/>
  <c r="N301" i="13"/>
  <c r="J301" i="13"/>
  <c r="I301" i="13"/>
  <c r="H301" i="13"/>
  <c r="Q300" i="13"/>
  <c r="P300" i="13"/>
  <c r="O300" i="13"/>
  <c r="M300" i="13"/>
  <c r="E299" i="13"/>
  <c r="D299" i="13"/>
  <c r="N298" i="13"/>
  <c r="K298" i="13"/>
  <c r="I298" i="13"/>
  <c r="N297" i="13"/>
  <c r="K297" i="13"/>
  <c r="I297" i="13"/>
  <c r="N296" i="13"/>
  <c r="J296" i="13"/>
  <c r="I296" i="13"/>
  <c r="H296" i="13"/>
  <c r="Q295" i="13"/>
  <c r="P295" i="13"/>
  <c r="O295" i="13"/>
  <c r="M295" i="13"/>
  <c r="L295" i="13"/>
  <c r="E294" i="13"/>
  <c r="D294" i="13"/>
  <c r="N291" i="13"/>
  <c r="M291" i="13"/>
  <c r="K291" i="13"/>
  <c r="I291" i="13"/>
  <c r="Q290" i="13"/>
  <c r="P290" i="13"/>
  <c r="O290" i="13"/>
  <c r="L290" i="13"/>
  <c r="E289" i="13"/>
  <c r="D289" i="13"/>
  <c r="C289" i="13"/>
  <c r="N288" i="13"/>
  <c r="J288" i="13"/>
  <c r="I288" i="13"/>
  <c r="H288" i="13"/>
  <c r="Q287" i="13"/>
  <c r="P287" i="13"/>
  <c r="O287" i="13"/>
  <c r="M287" i="13"/>
  <c r="L287" i="13"/>
  <c r="K287" i="13"/>
  <c r="E286" i="13"/>
  <c r="D286" i="13"/>
  <c r="C286" i="13"/>
  <c r="N285" i="13"/>
  <c r="J285" i="13"/>
  <c r="I285" i="13"/>
  <c r="H285" i="13"/>
  <c r="Q284" i="13"/>
  <c r="P284" i="13"/>
  <c r="O284" i="13"/>
  <c r="M284" i="13"/>
  <c r="L284" i="13"/>
  <c r="K284" i="13"/>
  <c r="E283" i="13"/>
  <c r="D283" i="13"/>
  <c r="C283" i="13"/>
  <c r="N282" i="13"/>
  <c r="M282" i="13"/>
  <c r="M282" i="9" s="1"/>
  <c r="J282" i="13"/>
  <c r="I282" i="13"/>
  <c r="H282" i="13"/>
  <c r="Q281" i="13"/>
  <c r="P281" i="13"/>
  <c r="O281" i="13"/>
  <c r="L281" i="13"/>
  <c r="L280" i="13" s="1"/>
  <c r="K281" i="13"/>
  <c r="E280" i="13"/>
  <c r="D280" i="13"/>
  <c r="C280" i="13"/>
  <c r="N279" i="13"/>
  <c r="M279" i="13"/>
  <c r="M279" i="9" s="1"/>
  <c r="J279" i="13"/>
  <c r="I279" i="13"/>
  <c r="H279" i="13"/>
  <c r="Q278" i="13"/>
  <c r="P278" i="13"/>
  <c r="O278" i="13"/>
  <c r="L278" i="13"/>
  <c r="K278" i="13"/>
  <c r="K277" i="13" s="1"/>
  <c r="E277" i="13"/>
  <c r="D277" i="13"/>
  <c r="C277" i="13"/>
  <c r="N276" i="13"/>
  <c r="J276" i="13"/>
  <c r="I276" i="13"/>
  <c r="H276" i="13"/>
  <c r="Q275" i="13"/>
  <c r="P275" i="13"/>
  <c r="O275" i="13"/>
  <c r="M275" i="13"/>
  <c r="L275" i="13"/>
  <c r="K275" i="13"/>
  <c r="E274" i="13"/>
  <c r="D274" i="13"/>
  <c r="C274" i="13"/>
  <c r="N273" i="13"/>
  <c r="L273" i="13"/>
  <c r="K273" i="13"/>
  <c r="N272" i="13"/>
  <c r="L272" i="13"/>
  <c r="K272" i="13"/>
  <c r="H272" i="13" s="1"/>
  <c r="N271" i="13"/>
  <c r="K271" i="9"/>
  <c r="J271" i="13"/>
  <c r="I271" i="13"/>
  <c r="Q270" i="13"/>
  <c r="P270" i="13"/>
  <c r="O270" i="13"/>
  <c r="M270" i="13"/>
  <c r="E269" i="13"/>
  <c r="D269" i="13"/>
  <c r="N268" i="13"/>
  <c r="K268" i="13"/>
  <c r="J268" i="13" s="1"/>
  <c r="I268" i="13"/>
  <c r="N267" i="13"/>
  <c r="I267" i="13"/>
  <c r="N266" i="13"/>
  <c r="J266" i="13"/>
  <c r="I266" i="13"/>
  <c r="H266" i="13"/>
  <c r="Q265" i="13"/>
  <c r="P265" i="13"/>
  <c r="O265" i="13"/>
  <c r="M265" i="13"/>
  <c r="L265" i="13"/>
  <c r="E264" i="13"/>
  <c r="D264" i="13"/>
  <c r="N263" i="13"/>
  <c r="J263" i="13"/>
  <c r="I263" i="13"/>
  <c r="H263" i="13"/>
  <c r="Q262" i="13"/>
  <c r="P262" i="13"/>
  <c r="O262" i="13"/>
  <c r="M262" i="13"/>
  <c r="L262" i="13"/>
  <c r="K262" i="13"/>
  <c r="E261" i="13"/>
  <c r="D261" i="13"/>
  <c r="C261" i="13"/>
  <c r="N260" i="13"/>
  <c r="M260" i="13"/>
  <c r="K260" i="13"/>
  <c r="K259" i="13" s="1"/>
  <c r="I260" i="13"/>
  <c r="Q259" i="13"/>
  <c r="P259" i="13"/>
  <c r="O259" i="13"/>
  <c r="L259" i="13"/>
  <c r="E258" i="13"/>
  <c r="D258" i="13"/>
  <c r="C258" i="13"/>
  <c r="N256" i="13"/>
  <c r="K256" i="13"/>
  <c r="K255" i="13" s="1"/>
  <c r="I256" i="13"/>
  <c r="Q255" i="13"/>
  <c r="P255" i="13"/>
  <c r="O255" i="13"/>
  <c r="M255" i="13"/>
  <c r="L255" i="13"/>
  <c r="E254" i="13"/>
  <c r="D254" i="13"/>
  <c r="C254" i="13"/>
  <c r="N253" i="13"/>
  <c r="K253" i="13"/>
  <c r="K253" i="9" s="1"/>
  <c r="I253" i="13"/>
  <c r="Q252" i="13"/>
  <c r="P252" i="13"/>
  <c r="O252" i="13"/>
  <c r="M252" i="13"/>
  <c r="L252" i="13"/>
  <c r="E251" i="13"/>
  <c r="D251" i="13"/>
  <c r="C251" i="13"/>
  <c r="N250" i="13"/>
  <c r="J250" i="13"/>
  <c r="I250" i="13"/>
  <c r="H250" i="13"/>
  <c r="Q249" i="13"/>
  <c r="P249" i="13"/>
  <c r="O249" i="13"/>
  <c r="M249" i="13"/>
  <c r="L249" i="13"/>
  <c r="K249" i="13"/>
  <c r="N248" i="13"/>
  <c r="J248" i="13"/>
  <c r="I248" i="13"/>
  <c r="H248" i="13"/>
  <c r="N247" i="13"/>
  <c r="L247" i="13"/>
  <c r="K247" i="13"/>
  <c r="N246" i="13"/>
  <c r="L246" i="13"/>
  <c r="K246" i="13"/>
  <c r="N245" i="13"/>
  <c r="K245" i="13"/>
  <c r="H245" i="13" s="1"/>
  <c r="I245" i="13"/>
  <c r="Q244" i="13"/>
  <c r="P244" i="13"/>
  <c r="O244" i="13"/>
  <c r="M244" i="13"/>
  <c r="N242" i="13"/>
  <c r="K242" i="13"/>
  <c r="K242" i="9" s="1"/>
  <c r="I242" i="13"/>
  <c r="Q241" i="13"/>
  <c r="P241" i="13"/>
  <c r="O241" i="13"/>
  <c r="M241" i="13"/>
  <c r="L241" i="13"/>
  <c r="N240" i="13"/>
  <c r="L240" i="13"/>
  <c r="K240" i="13"/>
  <c r="N239" i="13"/>
  <c r="L239" i="13"/>
  <c r="K239" i="13"/>
  <c r="N238" i="13"/>
  <c r="J238" i="13"/>
  <c r="I238" i="13"/>
  <c r="H238" i="13"/>
  <c r="Q237" i="13"/>
  <c r="P237" i="13"/>
  <c r="O237" i="13"/>
  <c r="M237" i="13"/>
  <c r="E236" i="13"/>
  <c r="N235" i="13"/>
  <c r="J235" i="13"/>
  <c r="I235" i="13"/>
  <c r="H235" i="13"/>
  <c r="Q234" i="13"/>
  <c r="P234" i="13"/>
  <c r="O234" i="13"/>
  <c r="M234" i="13"/>
  <c r="L234" i="13"/>
  <c r="K234" i="13"/>
  <c r="N233" i="13"/>
  <c r="L233" i="13"/>
  <c r="K233" i="13"/>
  <c r="N232" i="13"/>
  <c r="L232" i="13"/>
  <c r="I232" i="13" s="1"/>
  <c r="K232" i="13"/>
  <c r="N231" i="13"/>
  <c r="K231" i="13"/>
  <c r="K231" i="9" s="1"/>
  <c r="I231" i="13"/>
  <c r="Q230" i="13"/>
  <c r="P230" i="13"/>
  <c r="O230" i="13"/>
  <c r="M230" i="13"/>
  <c r="E229" i="13"/>
  <c r="N227" i="13"/>
  <c r="J227" i="13"/>
  <c r="I227" i="13"/>
  <c r="H227" i="13"/>
  <c r="Q226" i="13"/>
  <c r="P226" i="13"/>
  <c r="O226" i="13"/>
  <c r="M226" i="13"/>
  <c r="L226" i="13"/>
  <c r="K226" i="13"/>
  <c r="E225" i="13"/>
  <c r="D225" i="13"/>
  <c r="C225" i="13"/>
  <c r="N224" i="13"/>
  <c r="J224" i="13"/>
  <c r="I224" i="13"/>
  <c r="H224" i="13"/>
  <c r="Q223" i="13"/>
  <c r="P223" i="13"/>
  <c r="O223" i="13"/>
  <c r="M223" i="13"/>
  <c r="L223" i="13"/>
  <c r="K223" i="13"/>
  <c r="E222" i="13"/>
  <c r="D222" i="13"/>
  <c r="C222" i="13"/>
  <c r="N221" i="13"/>
  <c r="J221" i="13"/>
  <c r="I221" i="13"/>
  <c r="H221" i="13"/>
  <c r="N220" i="13"/>
  <c r="K220" i="13"/>
  <c r="H220" i="13" s="1"/>
  <c r="I220" i="13"/>
  <c r="N219" i="13"/>
  <c r="M219" i="13"/>
  <c r="K219" i="13"/>
  <c r="H219" i="13" s="1"/>
  <c r="I219" i="13"/>
  <c r="Q218" i="13"/>
  <c r="P218" i="13"/>
  <c r="O218" i="13"/>
  <c r="L218" i="13"/>
  <c r="E217" i="13"/>
  <c r="D217" i="13"/>
  <c r="N216" i="13"/>
  <c r="K216" i="13"/>
  <c r="I216" i="13"/>
  <c r="N215" i="13"/>
  <c r="K215" i="13"/>
  <c r="J215" i="13" s="1"/>
  <c r="I215" i="13"/>
  <c r="N214" i="13"/>
  <c r="M214" i="13"/>
  <c r="K214" i="13"/>
  <c r="J214" i="13" s="1"/>
  <c r="I214" i="13"/>
  <c r="Q213" i="13"/>
  <c r="P213" i="13"/>
  <c r="O213" i="13"/>
  <c r="L213" i="13"/>
  <c r="E212" i="13"/>
  <c r="D212" i="13"/>
  <c r="N211" i="13"/>
  <c r="M211" i="13"/>
  <c r="J211" i="13"/>
  <c r="I211" i="13"/>
  <c r="H211" i="13"/>
  <c r="Q210" i="13"/>
  <c r="P210" i="13"/>
  <c r="O210" i="13"/>
  <c r="L210" i="13"/>
  <c r="K210" i="13"/>
  <c r="E209" i="13"/>
  <c r="D209" i="13"/>
  <c r="C209" i="13"/>
  <c r="N208" i="13"/>
  <c r="K208" i="13"/>
  <c r="K208" i="9" s="1"/>
  <c r="I208" i="13"/>
  <c r="Q207" i="13"/>
  <c r="P207" i="13"/>
  <c r="O207" i="13"/>
  <c r="M207" i="13"/>
  <c r="L207" i="13"/>
  <c r="N206" i="13"/>
  <c r="K206" i="13"/>
  <c r="J206" i="13" s="1"/>
  <c r="I206" i="13"/>
  <c r="N205" i="13"/>
  <c r="K205" i="13"/>
  <c r="I205" i="13"/>
  <c r="N204" i="13"/>
  <c r="J204" i="13"/>
  <c r="I204" i="13"/>
  <c r="H204" i="13"/>
  <c r="Q203" i="13"/>
  <c r="P203" i="13"/>
  <c r="O203" i="13"/>
  <c r="M203" i="13"/>
  <c r="L203" i="13"/>
  <c r="E202" i="13"/>
  <c r="N201" i="13"/>
  <c r="K201" i="13"/>
  <c r="K201" i="9" s="1"/>
  <c r="I201" i="13"/>
  <c r="Q200" i="13"/>
  <c r="P200" i="13"/>
  <c r="O200" i="13"/>
  <c r="M200" i="13"/>
  <c r="L200" i="13"/>
  <c r="N199" i="13"/>
  <c r="J199" i="13"/>
  <c r="I199" i="13"/>
  <c r="H199" i="13"/>
  <c r="N198" i="13"/>
  <c r="K198" i="13"/>
  <c r="I198" i="13"/>
  <c r="N197" i="13"/>
  <c r="M197" i="13"/>
  <c r="K197" i="13"/>
  <c r="I197" i="13"/>
  <c r="Q196" i="13"/>
  <c r="P196" i="13"/>
  <c r="O196" i="13"/>
  <c r="L196" i="13"/>
  <c r="E195" i="13"/>
  <c r="N194" i="13"/>
  <c r="K194" i="13"/>
  <c r="K194" i="9" s="1"/>
  <c r="I194" i="13"/>
  <c r="Q193" i="13"/>
  <c r="P193" i="13"/>
  <c r="O193" i="13"/>
  <c r="M193" i="13"/>
  <c r="L193" i="13"/>
  <c r="N192" i="13"/>
  <c r="K192" i="13"/>
  <c r="I192" i="13"/>
  <c r="N191" i="13"/>
  <c r="K191" i="13"/>
  <c r="I191" i="13"/>
  <c r="N190" i="13"/>
  <c r="J190" i="13"/>
  <c r="I190" i="13"/>
  <c r="H190" i="13"/>
  <c r="Q189" i="13"/>
  <c r="P189" i="13"/>
  <c r="O189" i="13"/>
  <c r="M189" i="13"/>
  <c r="L189" i="13"/>
  <c r="E188" i="13"/>
  <c r="N187" i="13"/>
  <c r="J187" i="13"/>
  <c r="I187" i="13"/>
  <c r="H187" i="13"/>
  <c r="N186" i="13"/>
  <c r="K186" i="13"/>
  <c r="H186" i="13" s="1"/>
  <c r="I186" i="13"/>
  <c r="N185" i="13"/>
  <c r="J185" i="13"/>
  <c r="I185" i="13"/>
  <c r="H185" i="13"/>
  <c r="Q184" i="13"/>
  <c r="P184" i="13"/>
  <c r="O184" i="13"/>
  <c r="M184" i="13"/>
  <c r="L184" i="13"/>
  <c r="E183" i="13"/>
  <c r="D183" i="13"/>
  <c r="N182" i="13"/>
  <c r="K182" i="13"/>
  <c r="J182" i="13" s="1"/>
  <c r="I182" i="13"/>
  <c r="Q181" i="13"/>
  <c r="P181" i="13"/>
  <c r="O181" i="13"/>
  <c r="M181" i="13"/>
  <c r="L181" i="13"/>
  <c r="N180" i="13"/>
  <c r="M180" i="13"/>
  <c r="K180" i="13"/>
  <c r="H180" i="13" s="1"/>
  <c r="I180" i="13"/>
  <c r="Q179" i="13"/>
  <c r="P179" i="13"/>
  <c r="O179" i="13"/>
  <c r="L179" i="13"/>
  <c r="E178" i="13"/>
  <c r="C178" i="13"/>
  <c r="N176" i="13"/>
  <c r="J176" i="13"/>
  <c r="I176" i="13"/>
  <c r="H176" i="13"/>
  <c r="Q175" i="13"/>
  <c r="P175" i="13"/>
  <c r="O175" i="13"/>
  <c r="M175" i="13"/>
  <c r="L175" i="13"/>
  <c r="K175" i="13"/>
  <c r="E174" i="13"/>
  <c r="D174" i="13"/>
  <c r="C174" i="13"/>
  <c r="N173" i="13"/>
  <c r="K173" i="13"/>
  <c r="K173" i="9" s="1"/>
  <c r="I173" i="13"/>
  <c r="Q172" i="13"/>
  <c r="P172" i="13"/>
  <c r="O172" i="13"/>
  <c r="M172" i="13"/>
  <c r="L172" i="13"/>
  <c r="E171" i="13"/>
  <c r="D171" i="13"/>
  <c r="C171" i="13"/>
  <c r="N170" i="13"/>
  <c r="J170" i="13"/>
  <c r="I170" i="13"/>
  <c r="H170" i="13"/>
  <c r="Q169" i="13"/>
  <c r="P169" i="13"/>
  <c r="O169" i="13"/>
  <c r="M169" i="13"/>
  <c r="L169" i="13"/>
  <c r="K169" i="13"/>
  <c r="E168" i="13"/>
  <c r="D168" i="13"/>
  <c r="C168" i="13"/>
  <c r="N167" i="13"/>
  <c r="M167" i="13"/>
  <c r="J167" i="13"/>
  <c r="I167" i="13"/>
  <c r="H167" i="13"/>
  <c r="Q166" i="13"/>
  <c r="P166" i="13"/>
  <c r="O166" i="13"/>
  <c r="L166" i="13"/>
  <c r="K166" i="13"/>
  <c r="E165" i="13"/>
  <c r="D165" i="13"/>
  <c r="C165" i="13"/>
  <c r="N164" i="13"/>
  <c r="J164" i="13"/>
  <c r="I164" i="13"/>
  <c r="H164" i="13"/>
  <c r="Q163" i="13"/>
  <c r="P163" i="13"/>
  <c r="O163" i="13"/>
  <c r="M163" i="13"/>
  <c r="L163" i="13"/>
  <c r="K163" i="13"/>
  <c r="E162" i="13"/>
  <c r="D162" i="13"/>
  <c r="C162" i="13"/>
  <c r="N161" i="13"/>
  <c r="M161" i="13"/>
  <c r="M161" i="9" s="1"/>
  <c r="J161" i="13"/>
  <c r="I161" i="13"/>
  <c r="H161" i="13"/>
  <c r="Q160" i="13"/>
  <c r="P160" i="13"/>
  <c r="O160" i="13"/>
  <c r="L160" i="13"/>
  <c r="K160" i="13"/>
  <c r="E159" i="13"/>
  <c r="D159" i="13"/>
  <c r="C159" i="13"/>
  <c r="N158" i="13"/>
  <c r="J158" i="13"/>
  <c r="I158" i="13"/>
  <c r="H158" i="13"/>
  <c r="Q157" i="13"/>
  <c r="P157" i="13"/>
  <c r="O157" i="13"/>
  <c r="M157" i="13"/>
  <c r="L157" i="13"/>
  <c r="K157" i="13"/>
  <c r="E156" i="13"/>
  <c r="D156" i="13"/>
  <c r="C156" i="13"/>
  <c r="N155" i="13"/>
  <c r="J155" i="13"/>
  <c r="I155" i="13"/>
  <c r="H155" i="13"/>
  <c r="Q154" i="13"/>
  <c r="P154" i="13"/>
  <c r="O154" i="13"/>
  <c r="M154" i="13"/>
  <c r="L154" i="13"/>
  <c r="K154" i="13"/>
  <c r="E153" i="13"/>
  <c r="D153" i="13"/>
  <c r="C153" i="13"/>
  <c r="N152" i="13"/>
  <c r="K152" i="13"/>
  <c r="I152" i="13"/>
  <c r="N151" i="13"/>
  <c r="K151" i="13"/>
  <c r="I151" i="13"/>
  <c r="N150" i="13"/>
  <c r="J150" i="13"/>
  <c r="I150" i="13"/>
  <c r="H150" i="13"/>
  <c r="Q149" i="13"/>
  <c r="P149" i="13"/>
  <c r="O149" i="13"/>
  <c r="M149" i="13"/>
  <c r="L149" i="13"/>
  <c r="E148" i="13"/>
  <c r="D148" i="13"/>
  <c r="N145" i="13"/>
  <c r="L145" i="13"/>
  <c r="L145" i="9" s="1"/>
  <c r="K145" i="13"/>
  <c r="H145" i="13" s="1"/>
  <c r="Q144" i="13"/>
  <c r="P144" i="13"/>
  <c r="O144" i="13"/>
  <c r="M144" i="13"/>
  <c r="E143" i="13"/>
  <c r="D143" i="13"/>
  <c r="C143" i="13"/>
  <c r="N141" i="13"/>
  <c r="K141" i="13"/>
  <c r="J141" i="13" s="1"/>
  <c r="I141" i="13"/>
  <c r="Q140" i="13"/>
  <c r="P140" i="13"/>
  <c r="O140" i="13"/>
  <c r="M140" i="13"/>
  <c r="L140" i="13"/>
  <c r="E139" i="13"/>
  <c r="D139" i="13"/>
  <c r="C139" i="13"/>
  <c r="N138" i="13"/>
  <c r="L138" i="13"/>
  <c r="L137" i="13" s="1"/>
  <c r="K138" i="13"/>
  <c r="Q137" i="13"/>
  <c r="P137" i="13"/>
  <c r="O137" i="13"/>
  <c r="M137" i="13"/>
  <c r="E136" i="13"/>
  <c r="D136" i="13"/>
  <c r="C136" i="13"/>
  <c r="N135" i="13"/>
  <c r="L135" i="13"/>
  <c r="K135" i="13"/>
  <c r="N134" i="13"/>
  <c r="L134" i="13"/>
  <c r="K134" i="13"/>
  <c r="N133" i="13"/>
  <c r="L133" i="13"/>
  <c r="L133" i="9" s="1"/>
  <c r="K133" i="13"/>
  <c r="K133" i="9" s="1"/>
  <c r="Q132" i="13"/>
  <c r="P132" i="13"/>
  <c r="O132" i="13"/>
  <c r="M132" i="13"/>
  <c r="E131" i="13"/>
  <c r="D131" i="13"/>
  <c r="N130" i="13"/>
  <c r="J130" i="13"/>
  <c r="I130" i="13"/>
  <c r="H130" i="13"/>
  <c r="N129" i="13"/>
  <c r="J129" i="13"/>
  <c r="I129" i="13"/>
  <c r="H129" i="13"/>
  <c r="N128" i="13"/>
  <c r="I128" i="13"/>
  <c r="Q127" i="13"/>
  <c r="P127" i="13"/>
  <c r="O127" i="13"/>
  <c r="M127" i="13"/>
  <c r="L127" i="13"/>
  <c r="D127" i="13"/>
  <c r="C127" i="13"/>
  <c r="N125" i="13"/>
  <c r="N125" i="9" s="1"/>
  <c r="L125" i="13"/>
  <c r="L125" i="9" s="1"/>
  <c r="K125" i="13"/>
  <c r="Q124" i="13"/>
  <c r="P124" i="13"/>
  <c r="P124" i="9" s="1"/>
  <c r="O124" i="13"/>
  <c r="O124" i="9" s="1"/>
  <c r="M124" i="13"/>
  <c r="E123" i="13"/>
  <c r="E123" i="9" s="1"/>
  <c r="D123" i="13"/>
  <c r="D123" i="9" s="1"/>
  <c r="C123" i="13"/>
  <c r="C123" i="9" s="1"/>
  <c r="N122" i="13"/>
  <c r="L122" i="13"/>
  <c r="L122" i="9" s="1"/>
  <c r="K122" i="13"/>
  <c r="K122" i="9" s="1"/>
  <c r="Q121" i="13"/>
  <c r="P121" i="13"/>
  <c r="O121" i="13"/>
  <c r="M121" i="13"/>
  <c r="E120" i="13"/>
  <c r="D120" i="13"/>
  <c r="C120" i="13"/>
  <c r="N119" i="13"/>
  <c r="J119" i="13"/>
  <c r="I119" i="13"/>
  <c r="H119" i="13"/>
  <c r="N118" i="13"/>
  <c r="J118" i="13"/>
  <c r="I118" i="13"/>
  <c r="H118" i="13"/>
  <c r="Q117" i="13"/>
  <c r="P117" i="13"/>
  <c r="O117" i="13"/>
  <c r="M117" i="13"/>
  <c r="L117" i="13"/>
  <c r="K117" i="13"/>
  <c r="N116" i="13"/>
  <c r="J116" i="13"/>
  <c r="I116" i="13"/>
  <c r="H116" i="13"/>
  <c r="N115" i="13"/>
  <c r="L115" i="13"/>
  <c r="N114" i="13"/>
  <c r="L114" i="13"/>
  <c r="K114" i="13"/>
  <c r="N113" i="13"/>
  <c r="J113" i="13"/>
  <c r="I113" i="13"/>
  <c r="H113" i="13"/>
  <c r="Q112" i="13"/>
  <c r="P112" i="13"/>
  <c r="O112" i="13"/>
  <c r="M112" i="13"/>
  <c r="D111" i="13"/>
  <c r="N110" i="13"/>
  <c r="J110" i="13"/>
  <c r="I110" i="13"/>
  <c r="H110" i="13"/>
  <c r="N109" i="13"/>
  <c r="J109" i="13"/>
  <c r="I109" i="13"/>
  <c r="H109" i="13"/>
  <c r="Q108" i="13"/>
  <c r="P108" i="13"/>
  <c r="O108" i="13"/>
  <c r="M108" i="13"/>
  <c r="L108" i="13"/>
  <c r="K108" i="13"/>
  <c r="D107" i="13"/>
  <c r="C107" i="13"/>
  <c r="N103" i="13"/>
  <c r="N103" i="9" s="1"/>
  <c r="L103" i="13"/>
  <c r="L103" i="9" s="1"/>
  <c r="K103" i="13"/>
  <c r="K103" i="9" s="1"/>
  <c r="Q102" i="13"/>
  <c r="P102" i="13"/>
  <c r="P102" i="9" s="1"/>
  <c r="O102" i="13"/>
  <c r="O102" i="9" s="1"/>
  <c r="M102" i="13"/>
  <c r="M102" i="9" s="1"/>
  <c r="E101" i="13"/>
  <c r="E101" i="9" s="1"/>
  <c r="D101" i="13"/>
  <c r="C101" i="13"/>
  <c r="N99" i="13"/>
  <c r="L99" i="13"/>
  <c r="K99" i="13"/>
  <c r="K99" i="9" s="1"/>
  <c r="Q98" i="13"/>
  <c r="Q98" i="9" s="1"/>
  <c r="P98" i="13"/>
  <c r="P98" i="9" s="1"/>
  <c r="O98" i="13"/>
  <c r="M98" i="13"/>
  <c r="M98" i="9" s="1"/>
  <c r="N97" i="13"/>
  <c r="N97" i="9" s="1"/>
  <c r="K97" i="13"/>
  <c r="K97" i="9" s="1"/>
  <c r="I97" i="13"/>
  <c r="I97" i="9" s="1"/>
  <c r="Q96" i="13"/>
  <c r="P96" i="13"/>
  <c r="O96" i="13"/>
  <c r="O96" i="9" s="1"/>
  <c r="M96" i="13"/>
  <c r="M96" i="9" s="1"/>
  <c r="L96" i="13"/>
  <c r="L96" i="9" s="1"/>
  <c r="N95" i="13"/>
  <c r="N95" i="9" s="1"/>
  <c r="L95" i="13"/>
  <c r="L95" i="9" s="1"/>
  <c r="K95" i="13"/>
  <c r="K94" i="13" s="1"/>
  <c r="K94" i="9" s="1"/>
  <c r="Q94" i="13"/>
  <c r="Q94" i="9" s="1"/>
  <c r="P94" i="13"/>
  <c r="P94" i="9" s="1"/>
  <c r="O94" i="13"/>
  <c r="O94" i="9" s="1"/>
  <c r="M94" i="13"/>
  <c r="M94" i="9" s="1"/>
  <c r="E93" i="13"/>
  <c r="D93" i="13"/>
  <c r="C93" i="13"/>
  <c r="C93" i="9" s="1"/>
  <c r="N91" i="13"/>
  <c r="K91" i="13"/>
  <c r="I91" i="13"/>
  <c r="Q90" i="13"/>
  <c r="P90" i="13"/>
  <c r="O90" i="13"/>
  <c r="M90" i="13"/>
  <c r="L90" i="13"/>
  <c r="N89" i="13"/>
  <c r="K89" i="13"/>
  <c r="I89" i="13"/>
  <c r="Q88" i="13"/>
  <c r="P88" i="13"/>
  <c r="O88" i="13"/>
  <c r="M88" i="13"/>
  <c r="L88" i="13"/>
  <c r="N87" i="13"/>
  <c r="L87" i="13"/>
  <c r="K87" i="13"/>
  <c r="K86" i="13" s="1"/>
  <c r="Q86" i="13"/>
  <c r="P86" i="13"/>
  <c r="O86" i="13"/>
  <c r="M86" i="13"/>
  <c r="N85" i="13"/>
  <c r="K85" i="13"/>
  <c r="I85" i="13"/>
  <c r="Q84" i="13"/>
  <c r="P84" i="13"/>
  <c r="O84" i="13"/>
  <c r="M84" i="13"/>
  <c r="L84" i="13"/>
  <c r="E83" i="13"/>
  <c r="D83" i="13"/>
  <c r="C83" i="13"/>
  <c r="N81" i="13"/>
  <c r="L81" i="13"/>
  <c r="K81" i="13"/>
  <c r="Q80" i="13"/>
  <c r="P80" i="13"/>
  <c r="O80" i="13"/>
  <c r="M80" i="13"/>
  <c r="E79" i="13"/>
  <c r="D79" i="13"/>
  <c r="C79" i="13"/>
  <c r="E78" i="13"/>
  <c r="D78" i="13"/>
  <c r="N76" i="13"/>
  <c r="L76" i="13"/>
  <c r="Q75" i="13"/>
  <c r="P75" i="13"/>
  <c r="O75" i="13"/>
  <c r="M75" i="13"/>
  <c r="E74" i="13"/>
  <c r="D74" i="13"/>
  <c r="C74" i="13"/>
  <c r="N73" i="13"/>
  <c r="K73" i="13"/>
  <c r="I73" i="13"/>
  <c r="N72" i="13"/>
  <c r="L72" i="13"/>
  <c r="I72" i="13" s="1"/>
  <c r="K72" i="13"/>
  <c r="N71" i="13"/>
  <c r="J71" i="13"/>
  <c r="I71" i="13"/>
  <c r="Q70" i="13"/>
  <c r="P70" i="13"/>
  <c r="O70" i="13"/>
  <c r="M70" i="13"/>
  <c r="N69" i="13"/>
  <c r="L69" i="13"/>
  <c r="L68" i="13" s="1"/>
  <c r="K69" i="13"/>
  <c r="Q68" i="13"/>
  <c r="P68" i="13"/>
  <c r="O68" i="13"/>
  <c r="M68" i="13"/>
  <c r="E67" i="13"/>
  <c r="D67" i="13"/>
  <c r="N65" i="13"/>
  <c r="L65" i="13"/>
  <c r="L65" i="9" s="1"/>
  <c r="K65" i="13"/>
  <c r="K65" i="9" s="1"/>
  <c r="Q64" i="13"/>
  <c r="P64" i="13"/>
  <c r="O64" i="13"/>
  <c r="M64" i="13"/>
  <c r="E63" i="13"/>
  <c r="D63" i="13"/>
  <c r="C63" i="13"/>
  <c r="N62" i="13"/>
  <c r="L62" i="13"/>
  <c r="L62" i="9" s="1"/>
  <c r="K62" i="13"/>
  <c r="K62" i="9" s="1"/>
  <c r="Q61" i="13"/>
  <c r="P61" i="13"/>
  <c r="O61" i="13"/>
  <c r="M61" i="13"/>
  <c r="E60" i="13"/>
  <c r="D60" i="13"/>
  <c r="C60" i="13"/>
  <c r="N59" i="13"/>
  <c r="K59" i="13"/>
  <c r="I59" i="13"/>
  <c r="N58" i="13"/>
  <c r="L58" i="13"/>
  <c r="L58" i="9" s="1"/>
  <c r="K58" i="13"/>
  <c r="Q57" i="13"/>
  <c r="P57" i="13"/>
  <c r="O57" i="13"/>
  <c r="M57" i="13"/>
  <c r="D56" i="13"/>
  <c r="C56" i="13"/>
  <c r="N54" i="13"/>
  <c r="K54" i="13"/>
  <c r="I54" i="13"/>
  <c r="N53" i="13"/>
  <c r="L53" i="13"/>
  <c r="I53" i="13" s="1"/>
  <c r="K53" i="13"/>
  <c r="N52" i="13"/>
  <c r="L52" i="13"/>
  <c r="L52" i="9" s="1"/>
  <c r="K52" i="13"/>
  <c r="H52" i="13" s="1"/>
  <c r="Q51" i="13"/>
  <c r="P51" i="13"/>
  <c r="O51" i="13"/>
  <c r="M51" i="13"/>
  <c r="E50" i="13"/>
  <c r="D50" i="13"/>
  <c r="Q49" i="13"/>
  <c r="P49" i="13"/>
  <c r="O49" i="13"/>
  <c r="M49" i="13"/>
  <c r="L49" i="13"/>
  <c r="N48" i="13"/>
  <c r="E47" i="13"/>
  <c r="D47" i="13"/>
  <c r="C47" i="13"/>
  <c r="N45" i="13"/>
  <c r="K45" i="13"/>
  <c r="I45" i="13"/>
  <c r="Q44" i="13"/>
  <c r="P44" i="13"/>
  <c r="O44" i="13"/>
  <c r="M44" i="13"/>
  <c r="L44" i="13"/>
  <c r="N43" i="13"/>
  <c r="L43" i="13"/>
  <c r="K43" i="13"/>
  <c r="K42" i="13" s="1"/>
  <c r="Q42" i="13"/>
  <c r="P42" i="13"/>
  <c r="O42" i="13"/>
  <c r="M42" i="13"/>
  <c r="E41" i="13"/>
  <c r="D41" i="13"/>
  <c r="C41" i="13"/>
  <c r="N40" i="13"/>
  <c r="J40" i="13"/>
  <c r="I40" i="13"/>
  <c r="H40" i="13"/>
  <c r="Q39" i="13"/>
  <c r="P39" i="13"/>
  <c r="O39" i="13"/>
  <c r="M39" i="13"/>
  <c r="L39" i="13"/>
  <c r="K39" i="13"/>
  <c r="N38" i="13"/>
  <c r="I38" i="13"/>
  <c r="Q37" i="13"/>
  <c r="P37" i="13"/>
  <c r="O37" i="13"/>
  <c r="M37" i="13"/>
  <c r="L37" i="13"/>
  <c r="N36" i="13"/>
  <c r="L36" i="13"/>
  <c r="I36" i="13" s="1"/>
  <c r="K36" i="13"/>
  <c r="Q35" i="13"/>
  <c r="P35" i="13"/>
  <c r="O35" i="13"/>
  <c r="M35" i="13"/>
  <c r="E34" i="13"/>
  <c r="D34" i="13"/>
  <c r="C34" i="13"/>
  <c r="N33" i="13"/>
  <c r="K33" i="13"/>
  <c r="I33" i="13"/>
  <c r="Q32" i="13"/>
  <c r="P32" i="13"/>
  <c r="O32" i="13"/>
  <c r="M32" i="13"/>
  <c r="L32" i="13"/>
  <c r="N31" i="13"/>
  <c r="L31" i="13"/>
  <c r="L31" i="9" s="1"/>
  <c r="K31" i="13"/>
  <c r="Q30" i="13"/>
  <c r="P30" i="13"/>
  <c r="O30" i="13"/>
  <c r="M30" i="13"/>
  <c r="E29" i="13"/>
  <c r="D29" i="13"/>
  <c r="C29" i="13"/>
  <c r="N28" i="13"/>
  <c r="J28" i="13"/>
  <c r="I28" i="13"/>
  <c r="H28" i="13"/>
  <c r="N27" i="13"/>
  <c r="L27" i="13"/>
  <c r="L26" i="13" s="1"/>
  <c r="Q26" i="13"/>
  <c r="P26" i="13"/>
  <c r="O26" i="13"/>
  <c r="M26" i="13"/>
  <c r="N25" i="13"/>
  <c r="K25" i="13"/>
  <c r="H25" i="13" s="1"/>
  <c r="I25" i="13"/>
  <c r="N24" i="13"/>
  <c r="K24" i="13"/>
  <c r="I24" i="13"/>
  <c r="N23" i="13"/>
  <c r="J23" i="13"/>
  <c r="I23" i="13"/>
  <c r="H23" i="13"/>
  <c r="Q22" i="13"/>
  <c r="P22" i="13"/>
  <c r="O22" i="13"/>
  <c r="M22" i="13"/>
  <c r="L22" i="13"/>
  <c r="N21" i="13"/>
  <c r="L21" i="13"/>
  <c r="L21" i="9" s="1"/>
  <c r="K21" i="13"/>
  <c r="Q20" i="13"/>
  <c r="P20" i="13"/>
  <c r="O20" i="13"/>
  <c r="M20" i="13"/>
  <c r="Q13" i="13"/>
  <c r="P13" i="13"/>
  <c r="O13" i="13"/>
  <c r="Q12" i="13"/>
  <c r="P12" i="13"/>
  <c r="O12" i="13"/>
  <c r="M12" i="13"/>
  <c r="Q10" i="13"/>
  <c r="P10" i="13"/>
  <c r="O10" i="13"/>
  <c r="N10" i="13"/>
  <c r="M10" i="13"/>
  <c r="L10" i="13"/>
  <c r="K10" i="13"/>
  <c r="J10" i="13"/>
  <c r="K14" i="13" l="1"/>
  <c r="L494" i="9"/>
  <c r="K325" i="9"/>
  <c r="O432" i="13"/>
  <c r="O476" i="13"/>
  <c r="M13" i="13"/>
  <c r="N339" i="9"/>
  <c r="N338" i="13"/>
  <c r="G338" i="13" s="1"/>
  <c r="K621" i="13"/>
  <c r="H621" i="13" s="1"/>
  <c r="H291" i="13"/>
  <c r="I443" i="13"/>
  <c r="L569" i="13"/>
  <c r="M210" i="13"/>
  <c r="J622" i="13"/>
  <c r="G622" i="13" s="1"/>
  <c r="L618" i="9"/>
  <c r="K84" i="13"/>
  <c r="H84" i="13" s="1"/>
  <c r="H447" i="13"/>
  <c r="M618" i="9"/>
  <c r="O618" i="9"/>
  <c r="P618" i="9"/>
  <c r="M281" i="13"/>
  <c r="J400" i="13"/>
  <c r="J85" i="13"/>
  <c r="J84" i="13" s="1"/>
  <c r="P424" i="9"/>
  <c r="O394" i="13"/>
  <c r="O424" i="9"/>
  <c r="G598" i="13"/>
  <c r="L61" i="13"/>
  <c r="J319" i="9"/>
  <c r="J318" i="13"/>
  <c r="K51" i="13"/>
  <c r="K290" i="13"/>
  <c r="Q576" i="13"/>
  <c r="I62" i="13"/>
  <c r="J321" i="9"/>
  <c r="J320" i="13"/>
  <c r="H456" i="13"/>
  <c r="N321" i="9"/>
  <c r="N320" i="13"/>
  <c r="N320" i="9" s="1"/>
  <c r="Q600" i="13"/>
  <c r="L42" i="13"/>
  <c r="L41" i="13" s="1"/>
  <c r="K179" i="13"/>
  <c r="J21" i="13"/>
  <c r="G21" i="13" s="1"/>
  <c r="J54" i="13"/>
  <c r="G54" i="13" s="1"/>
  <c r="J456" i="13"/>
  <c r="K350" i="13"/>
  <c r="K35" i="13"/>
  <c r="H35" i="13" s="1"/>
  <c r="K61" i="13"/>
  <c r="K60" i="13" s="1"/>
  <c r="K184" i="13"/>
  <c r="K98" i="13"/>
  <c r="K98" i="9" s="1"/>
  <c r="H85" i="13"/>
  <c r="J246" i="13"/>
  <c r="G246" i="13" s="1"/>
  <c r="I43" i="13"/>
  <c r="J314" i="13"/>
  <c r="J314" i="9" s="1"/>
  <c r="Q584" i="13"/>
  <c r="N599" i="13"/>
  <c r="Q526" i="13"/>
  <c r="M367" i="13"/>
  <c r="P420" i="13"/>
  <c r="L270" i="13"/>
  <c r="J31" i="13"/>
  <c r="L86" i="13"/>
  <c r="I86" i="13" s="1"/>
  <c r="J89" i="13"/>
  <c r="K462" i="13"/>
  <c r="K497" i="13"/>
  <c r="K497" i="9" s="1"/>
  <c r="Q617" i="13"/>
  <c r="H451" i="13"/>
  <c r="I122" i="13"/>
  <c r="K144" i="13"/>
  <c r="H144" i="13" s="1"/>
  <c r="M166" i="13"/>
  <c r="M165" i="13" s="1"/>
  <c r="J291" i="13"/>
  <c r="J290" i="13" s="1"/>
  <c r="J289" i="13" s="1"/>
  <c r="K455" i="13"/>
  <c r="I545" i="13"/>
  <c r="K553" i="13"/>
  <c r="L144" i="13"/>
  <c r="L143" i="13" s="1"/>
  <c r="M160" i="13"/>
  <c r="J451" i="13"/>
  <c r="H622" i="13"/>
  <c r="L70" i="13"/>
  <c r="H201" i="13"/>
  <c r="H314" i="13"/>
  <c r="H314" i="9" s="1"/>
  <c r="P428" i="13"/>
  <c r="L30" i="13"/>
  <c r="L29" i="13" s="1"/>
  <c r="H53" i="13"/>
  <c r="J233" i="13"/>
  <c r="G233" i="13" s="1"/>
  <c r="J366" i="13"/>
  <c r="J366" i="9" s="1"/>
  <c r="P440" i="13"/>
  <c r="H464" i="13"/>
  <c r="J498" i="13"/>
  <c r="G498" i="13" s="1"/>
  <c r="P258" i="13"/>
  <c r="O123" i="13"/>
  <c r="O123" i="9" s="1"/>
  <c r="M15" i="13"/>
  <c r="O269" i="13"/>
  <c r="K616" i="13"/>
  <c r="K615" i="13" s="1"/>
  <c r="K615" i="9" s="1"/>
  <c r="Q436" i="13"/>
  <c r="Q183" i="13"/>
  <c r="M472" i="13"/>
  <c r="P222" i="13"/>
  <c r="Q188" i="13"/>
  <c r="N169" i="13"/>
  <c r="N157" i="13"/>
  <c r="K225" i="13"/>
  <c r="M436" i="13"/>
  <c r="N86" i="13"/>
  <c r="N94" i="13"/>
  <c r="N94" i="9" s="1"/>
  <c r="N137" i="13"/>
  <c r="N136" i="13" s="1"/>
  <c r="N57" i="13"/>
  <c r="N56" i="13" s="1"/>
  <c r="N278" i="13"/>
  <c r="N277" i="13" s="1"/>
  <c r="P79" i="13"/>
  <c r="P78" i="13" s="1"/>
  <c r="P148" i="13"/>
  <c r="O316" i="13"/>
  <c r="O316" i="9" s="1"/>
  <c r="Q381" i="13"/>
  <c r="P15" i="13"/>
  <c r="Q74" i="13"/>
  <c r="Q66" i="13" s="1"/>
  <c r="G386" i="13"/>
  <c r="Q384" i="13"/>
  <c r="M620" i="13"/>
  <c r="L15" i="13"/>
  <c r="N259" i="13"/>
  <c r="P174" i="13"/>
  <c r="P251" i="13"/>
  <c r="Q174" i="13"/>
  <c r="Q251" i="13"/>
  <c r="O274" i="13"/>
  <c r="M345" i="13"/>
  <c r="L488" i="13"/>
  <c r="P156" i="13"/>
  <c r="I169" i="13"/>
  <c r="Q274" i="13"/>
  <c r="P342" i="13"/>
  <c r="P212" i="13"/>
  <c r="C499" i="13"/>
  <c r="C499" i="9" s="1"/>
  <c r="J599" i="13"/>
  <c r="N39" i="13"/>
  <c r="P131" i="13"/>
  <c r="P74" i="13"/>
  <c r="C418" i="13"/>
  <c r="L552" i="13"/>
  <c r="O159" i="13"/>
  <c r="J481" i="13"/>
  <c r="J609" i="13"/>
  <c r="L159" i="13"/>
  <c r="M50" i="13"/>
  <c r="Q50" i="13"/>
  <c r="I96" i="13"/>
  <c r="I96" i="9" s="1"/>
  <c r="N154" i="13"/>
  <c r="O174" i="13"/>
  <c r="M537" i="13"/>
  <c r="L629" i="13"/>
  <c r="O171" i="13"/>
  <c r="N160" i="13"/>
  <c r="N159" i="13" s="1"/>
  <c r="N311" i="13"/>
  <c r="N311" i="9" s="1"/>
  <c r="C492" i="13"/>
  <c r="C492" i="9" s="1"/>
  <c r="I22" i="13"/>
  <c r="E100" i="13"/>
  <c r="E100" i="9" s="1"/>
  <c r="K107" i="13"/>
  <c r="G130" i="13"/>
  <c r="E128" i="13" s="1"/>
  <c r="M511" i="13"/>
  <c r="P101" i="13"/>
  <c r="P100" i="13" s="1"/>
  <c r="P100" i="9" s="1"/>
  <c r="N210" i="13"/>
  <c r="N209" i="13" s="1"/>
  <c r="Q342" i="13"/>
  <c r="I361" i="13"/>
  <c r="Q445" i="13"/>
  <c r="N102" i="13"/>
  <c r="N102" i="9" s="1"/>
  <c r="I491" i="13"/>
  <c r="P516" i="13"/>
  <c r="H117" i="13"/>
  <c r="J154" i="13"/>
  <c r="J153" i="13" s="1"/>
  <c r="M229" i="13"/>
  <c r="I234" i="13"/>
  <c r="M375" i="13"/>
  <c r="Q516" i="13"/>
  <c r="N437" i="13"/>
  <c r="J479" i="13"/>
  <c r="M521" i="13"/>
  <c r="J583" i="13"/>
  <c r="D46" i="13"/>
  <c r="D323" i="13"/>
  <c r="D323" i="9" s="1"/>
  <c r="J494" i="13"/>
  <c r="J494" i="9" s="1"/>
  <c r="J157" i="13"/>
  <c r="N300" i="13"/>
  <c r="P11" i="13"/>
  <c r="E142" i="13"/>
  <c r="P171" i="13"/>
  <c r="P236" i="13"/>
  <c r="P274" i="13"/>
  <c r="H312" i="9"/>
  <c r="L371" i="13"/>
  <c r="L378" i="13"/>
  <c r="N80" i="13"/>
  <c r="N193" i="13"/>
  <c r="N12" i="13"/>
  <c r="P277" i="13"/>
  <c r="N37" i="13"/>
  <c r="P159" i="13"/>
  <c r="L225" i="13"/>
  <c r="Q277" i="13"/>
  <c r="O324" i="13"/>
  <c r="O323" i="13" s="1"/>
  <c r="O323" i="9" s="1"/>
  <c r="P391" i="13"/>
  <c r="Q394" i="13"/>
  <c r="N405" i="13"/>
  <c r="L526" i="13"/>
  <c r="I312" i="9"/>
  <c r="G155" i="13"/>
  <c r="Q15" i="13"/>
  <c r="Q47" i="13"/>
  <c r="N68" i="13"/>
  <c r="Q159" i="13"/>
  <c r="P183" i="13"/>
  <c r="Q283" i="13"/>
  <c r="L286" i="13"/>
  <c r="D316" i="13"/>
  <c r="D316" i="9" s="1"/>
  <c r="P324" i="13"/>
  <c r="P323" i="13" s="1"/>
  <c r="P323" i="9" s="1"/>
  <c r="N367" i="13"/>
  <c r="N367" i="9" s="1"/>
  <c r="Q391" i="13"/>
  <c r="M432" i="13"/>
  <c r="M526" i="13"/>
  <c r="Q286" i="13"/>
  <c r="Q324" i="13"/>
  <c r="Q324" i="9" s="1"/>
  <c r="O398" i="13"/>
  <c r="O526" i="13"/>
  <c r="H606" i="13"/>
  <c r="P123" i="13"/>
  <c r="P123" i="9" s="1"/>
  <c r="N223" i="13"/>
  <c r="N222" i="13" s="1"/>
  <c r="N234" i="13"/>
  <c r="N108" i="13"/>
  <c r="N107" i="13" s="1"/>
  <c r="O120" i="13"/>
  <c r="Q131" i="13"/>
  <c r="K153" i="13"/>
  <c r="Q162" i="13"/>
  <c r="O165" i="13"/>
  <c r="G187" i="13"/>
  <c r="P209" i="13"/>
  <c r="O330" i="13"/>
  <c r="Q542" i="13"/>
  <c r="O557" i="13"/>
  <c r="M63" i="13"/>
  <c r="C92" i="13"/>
  <c r="C92" i="9" s="1"/>
  <c r="O153" i="13"/>
  <c r="G158" i="13"/>
  <c r="H166" i="13"/>
  <c r="O212" i="13"/>
  <c r="Q289" i="13"/>
  <c r="P294" i="13"/>
  <c r="L310" i="13"/>
  <c r="L310" i="9" s="1"/>
  <c r="M317" i="9"/>
  <c r="P330" i="13"/>
  <c r="O384" i="13"/>
  <c r="N403" i="13"/>
  <c r="I413" i="13"/>
  <c r="P415" i="13"/>
  <c r="O436" i="13"/>
  <c r="D567" i="13"/>
  <c r="D567" i="9" s="1"/>
  <c r="H597" i="13"/>
  <c r="I604" i="13"/>
  <c r="I611" i="13"/>
  <c r="Q623" i="13"/>
  <c r="K168" i="13"/>
  <c r="O243" i="13"/>
  <c r="N287" i="13"/>
  <c r="N325" i="13"/>
  <c r="N325" i="9" s="1"/>
  <c r="L337" i="13"/>
  <c r="L107" i="13"/>
  <c r="Q466" i="13"/>
  <c r="Q506" i="13"/>
  <c r="M156" i="13"/>
  <c r="N166" i="13"/>
  <c r="H169" i="13"/>
  <c r="M299" i="13"/>
  <c r="K381" i="13"/>
  <c r="N413" i="13"/>
  <c r="Q531" i="13"/>
  <c r="Q563" i="13"/>
  <c r="Q563" i="9" s="1"/>
  <c r="I137" i="13"/>
  <c r="L136" i="13"/>
  <c r="O371" i="13"/>
  <c r="M311" i="13"/>
  <c r="P436" i="13"/>
  <c r="I184" i="13"/>
  <c r="I133" i="13"/>
  <c r="J135" i="13"/>
  <c r="G135" i="13" s="1"/>
  <c r="L195" i="13"/>
  <c r="O209" i="13"/>
  <c r="O222" i="13"/>
  <c r="J239" i="13"/>
  <c r="G239" i="13" s="1"/>
  <c r="I247" i="13"/>
  <c r="L277" i="13"/>
  <c r="N284" i="13"/>
  <c r="Q294" i="13"/>
  <c r="K300" i="13"/>
  <c r="Q304" i="13"/>
  <c r="E323" i="13"/>
  <c r="E323" i="9" s="1"/>
  <c r="H325" i="13"/>
  <c r="H325" i="9" s="1"/>
  <c r="K330" i="13"/>
  <c r="O333" i="13"/>
  <c r="I346" i="13"/>
  <c r="I354" i="13"/>
  <c r="D363" i="13"/>
  <c r="D363" i="9" s="1"/>
  <c r="H373" i="13"/>
  <c r="E390" i="13"/>
  <c r="J392" i="13"/>
  <c r="J395" i="13"/>
  <c r="I441" i="13"/>
  <c r="H481" i="13"/>
  <c r="O501" i="13"/>
  <c r="O501" i="9" s="1"/>
  <c r="N548" i="13"/>
  <c r="I577" i="13"/>
  <c r="I618" i="13"/>
  <c r="I618" i="9" s="1"/>
  <c r="O627" i="13"/>
  <c r="H627" i="13" s="1"/>
  <c r="K629" i="13"/>
  <c r="K132" i="13"/>
  <c r="D147" i="13"/>
  <c r="N196" i="13"/>
  <c r="Q209" i="13"/>
  <c r="Q222" i="13"/>
  <c r="K244" i="13"/>
  <c r="G307" i="13"/>
  <c r="E316" i="13"/>
  <c r="E316" i="9" s="1"/>
  <c r="N343" i="13"/>
  <c r="N342" i="13" s="1"/>
  <c r="P384" i="13"/>
  <c r="Q398" i="13"/>
  <c r="I403" i="13"/>
  <c r="N532" i="13"/>
  <c r="N531" i="13" s="1"/>
  <c r="D574" i="13"/>
  <c r="D573" i="13" s="1"/>
  <c r="I37" i="13"/>
  <c r="M60" i="13"/>
  <c r="N75" i="13"/>
  <c r="N74" i="13" s="1"/>
  <c r="N117" i="13"/>
  <c r="J128" i="13"/>
  <c r="L153" i="13"/>
  <c r="N181" i="13"/>
  <c r="N184" i="13"/>
  <c r="M202" i="13"/>
  <c r="I246" i="13"/>
  <c r="N249" i="13"/>
  <c r="O254" i="13"/>
  <c r="N262" i="13"/>
  <c r="N275" i="13"/>
  <c r="I278" i="13"/>
  <c r="P280" i="13"/>
  <c r="E293" i="13"/>
  <c r="G301" i="13"/>
  <c r="I313" i="13"/>
  <c r="I313" i="9" s="1"/>
  <c r="P317" i="9"/>
  <c r="Q330" i="13"/>
  <c r="N334" i="13"/>
  <c r="G397" i="13"/>
  <c r="K399" i="13"/>
  <c r="G426" i="13"/>
  <c r="D424" i="13" s="1"/>
  <c r="J437" i="13"/>
  <c r="G438" i="13"/>
  <c r="P446" i="13"/>
  <c r="Q469" i="13"/>
  <c r="I471" i="13"/>
  <c r="C488" i="13"/>
  <c r="L493" i="13"/>
  <c r="L493" i="9" s="1"/>
  <c r="K500" i="13"/>
  <c r="K500" i="9" s="1"/>
  <c r="G559" i="13"/>
  <c r="M574" i="13"/>
  <c r="M573" i="13" s="1"/>
  <c r="I607" i="13"/>
  <c r="J612" i="13"/>
  <c r="Q620" i="13"/>
  <c r="H628" i="13"/>
  <c r="O15" i="13"/>
  <c r="L35" i="13"/>
  <c r="J45" i="13"/>
  <c r="M47" i="13"/>
  <c r="O60" i="13"/>
  <c r="K64" i="13"/>
  <c r="M101" i="13"/>
  <c r="M101" i="9" s="1"/>
  <c r="M107" i="13"/>
  <c r="L121" i="13"/>
  <c r="N124" i="13"/>
  <c r="L139" i="13"/>
  <c r="L183" i="13"/>
  <c r="M213" i="13"/>
  <c r="L217" i="13"/>
  <c r="H231" i="13"/>
  <c r="I233" i="13"/>
  <c r="H242" i="13"/>
  <c r="Q254" i="13"/>
  <c r="J278" i="13"/>
  <c r="Q280" i="13"/>
  <c r="M286" i="13"/>
  <c r="P299" i="13"/>
  <c r="K324" i="13"/>
  <c r="C329" i="13"/>
  <c r="M337" i="13"/>
  <c r="K345" i="13"/>
  <c r="N346" i="13"/>
  <c r="M356" i="13"/>
  <c r="J361" i="13"/>
  <c r="Q364" i="13"/>
  <c r="Q364" i="9" s="1"/>
  <c r="P375" i="13"/>
  <c r="H405" i="13"/>
  <c r="O409" i="13"/>
  <c r="H409" i="13" s="1"/>
  <c r="M415" i="13"/>
  <c r="N421" i="13"/>
  <c r="N429" i="13"/>
  <c r="J442" i="13"/>
  <c r="N443" i="13"/>
  <c r="H453" i="13"/>
  <c r="I487" i="13"/>
  <c r="E488" i="13"/>
  <c r="I494" i="13"/>
  <c r="J501" i="13"/>
  <c r="J501" i="9" s="1"/>
  <c r="Q511" i="13"/>
  <c r="Q521" i="13"/>
  <c r="H540" i="13"/>
  <c r="M557" i="13"/>
  <c r="L564" i="13"/>
  <c r="I587" i="13"/>
  <c r="Q626" i="13"/>
  <c r="H39" i="13"/>
  <c r="L64" i="13"/>
  <c r="I64" i="13" s="1"/>
  <c r="I87" i="13"/>
  <c r="O111" i="13"/>
  <c r="D142" i="13"/>
  <c r="L148" i="13"/>
  <c r="H154" i="13"/>
  <c r="L165" i="13"/>
  <c r="O264" i="13"/>
  <c r="I273" i="13"/>
  <c r="Q299" i="13"/>
  <c r="P337" i="13"/>
  <c r="L345" i="13"/>
  <c r="L365" i="13"/>
  <c r="L381" i="13"/>
  <c r="K391" i="13"/>
  <c r="I405" i="13"/>
  <c r="P409" i="13"/>
  <c r="I409" i="13" s="1"/>
  <c r="H479" i="13"/>
  <c r="G508" i="13"/>
  <c r="L531" i="13"/>
  <c r="P547" i="13"/>
  <c r="J566" i="13"/>
  <c r="P568" i="13"/>
  <c r="P568" i="9" s="1"/>
  <c r="H604" i="13"/>
  <c r="I609" i="13"/>
  <c r="C615" i="13"/>
  <c r="C615" i="9" s="1"/>
  <c r="L20" i="13"/>
  <c r="I20" i="13" s="1"/>
  <c r="N42" i="13"/>
  <c r="O101" i="13"/>
  <c r="O100" i="13" s="1"/>
  <c r="O100" i="9" s="1"/>
  <c r="Q136" i="13"/>
  <c r="J138" i="13"/>
  <c r="Q143" i="13"/>
  <c r="I145" i="13"/>
  <c r="O148" i="13"/>
  <c r="I154" i="13"/>
  <c r="I160" i="13"/>
  <c r="M162" i="13"/>
  <c r="K174" i="13"/>
  <c r="L178" i="13"/>
  <c r="K189" i="13"/>
  <c r="J205" i="13"/>
  <c r="G205" i="13" s="1"/>
  <c r="O236" i="13"/>
  <c r="K241" i="13"/>
  <c r="H241" i="13" s="1"/>
  <c r="J242" i="13"/>
  <c r="G242" i="13" s="1"/>
  <c r="P264" i="13"/>
  <c r="K270" i="13"/>
  <c r="J287" i="13"/>
  <c r="G288" i="13"/>
  <c r="L294" i="13"/>
  <c r="L394" i="13"/>
  <c r="E418" i="13"/>
  <c r="L432" i="13"/>
  <c r="I447" i="13"/>
  <c r="Q449" i="13"/>
  <c r="J472" i="13"/>
  <c r="K475" i="13"/>
  <c r="I479" i="13"/>
  <c r="P482" i="13"/>
  <c r="O531" i="13"/>
  <c r="O542" i="13"/>
  <c r="I588" i="13"/>
  <c r="Q613" i="13"/>
  <c r="N628" i="13"/>
  <c r="M79" i="13"/>
  <c r="H91" i="13"/>
  <c r="N112" i="13"/>
  <c r="H133" i="13"/>
  <c r="O229" i="13"/>
  <c r="I382" i="13"/>
  <c r="M418" i="13"/>
  <c r="D499" i="13"/>
  <c r="D499" i="9" s="1"/>
  <c r="E562" i="13"/>
  <c r="E562" i="9" s="1"/>
  <c r="Q11" i="13"/>
  <c r="H24" i="13"/>
  <c r="J24" i="13"/>
  <c r="K22" i="13"/>
  <c r="Q29" i="13"/>
  <c r="N35" i="13"/>
  <c r="J49" i="13"/>
  <c r="H49" i="13"/>
  <c r="H73" i="13"/>
  <c r="E77" i="13"/>
  <c r="P41" i="13"/>
  <c r="D66" i="13"/>
  <c r="G214" i="13"/>
  <c r="M34" i="13"/>
  <c r="G71" i="13"/>
  <c r="E66" i="13"/>
  <c r="G352" i="13"/>
  <c r="I49" i="13"/>
  <c r="L48" i="13"/>
  <c r="P56" i="13"/>
  <c r="J33" i="13"/>
  <c r="K32" i="13"/>
  <c r="H33" i="13"/>
  <c r="Q56" i="13"/>
  <c r="D55" i="13"/>
  <c r="H71" i="13"/>
  <c r="E82" i="13"/>
  <c r="M19" i="13"/>
  <c r="I27" i="13"/>
  <c r="L27" i="9"/>
  <c r="J27" i="13"/>
  <c r="N32" i="13"/>
  <c r="N51" i="13"/>
  <c r="O63" i="13"/>
  <c r="O83" i="13"/>
  <c r="K254" i="13"/>
  <c r="H255" i="13"/>
  <c r="O34" i="13"/>
  <c r="P34" i="13"/>
  <c r="N20" i="13"/>
  <c r="I32" i="13"/>
  <c r="I39" i="13"/>
  <c r="P63" i="13"/>
  <c r="G268" i="13"/>
  <c r="H367" i="13"/>
  <c r="H367" i="9" s="1"/>
  <c r="K367" i="9"/>
  <c r="N22" i="13"/>
  <c r="N13" i="13"/>
  <c r="I26" i="13"/>
  <c r="O50" i="13"/>
  <c r="O47" i="13"/>
  <c r="J81" i="13"/>
  <c r="H81" i="13"/>
  <c r="K80" i="13"/>
  <c r="G215" i="13"/>
  <c r="H538" i="13"/>
  <c r="K537" i="13"/>
  <c r="D18" i="13"/>
  <c r="H10" i="13"/>
  <c r="C55" i="13"/>
  <c r="O41" i="13"/>
  <c r="N44" i="13"/>
  <c r="P50" i="13"/>
  <c r="P47" i="13"/>
  <c r="O79" i="13"/>
  <c r="I81" i="13"/>
  <c r="L80" i="13"/>
  <c r="H86" i="13"/>
  <c r="K13" i="13"/>
  <c r="P19" i="13"/>
  <c r="P29" i="13"/>
  <c r="J62" i="13"/>
  <c r="G62" i="13" s="1"/>
  <c r="J73" i="13"/>
  <c r="M74" i="13"/>
  <c r="D77" i="13"/>
  <c r="D92" i="13"/>
  <c r="D92" i="9" s="1"/>
  <c r="D93" i="9"/>
  <c r="Q93" i="13"/>
  <c r="Q96" i="9"/>
  <c r="N98" i="13"/>
  <c r="N99" i="9"/>
  <c r="P107" i="13"/>
  <c r="J114" i="13"/>
  <c r="I117" i="13"/>
  <c r="K121" i="13"/>
  <c r="J122" i="13"/>
  <c r="J121" i="13" s="1"/>
  <c r="L124" i="13"/>
  <c r="H125" i="13"/>
  <c r="H125" i="9" s="1"/>
  <c r="K125" i="9"/>
  <c r="I127" i="13"/>
  <c r="Q139" i="13"/>
  <c r="N144" i="13"/>
  <c r="Q153" i="13"/>
  <c r="E147" i="13"/>
  <c r="J163" i="13"/>
  <c r="Q165" i="13"/>
  <c r="K172" i="13"/>
  <c r="J173" i="13"/>
  <c r="Q178" i="13"/>
  <c r="J192" i="13"/>
  <c r="O195" i="13"/>
  <c r="G211" i="13"/>
  <c r="J216" i="13"/>
  <c r="H223" i="13"/>
  <c r="O225" i="13"/>
  <c r="J232" i="13"/>
  <c r="I240" i="13"/>
  <c r="K252" i="13"/>
  <c r="J253" i="13"/>
  <c r="G253" i="13" s="1"/>
  <c r="J260" i="13"/>
  <c r="M261" i="13"/>
  <c r="N281" i="13"/>
  <c r="H284" i="13"/>
  <c r="K286" i="13"/>
  <c r="D293" i="13"/>
  <c r="G296" i="13"/>
  <c r="N305" i="13"/>
  <c r="M324" i="13"/>
  <c r="M325" i="9"/>
  <c r="O337" i="13"/>
  <c r="O342" i="13"/>
  <c r="G362" i="13"/>
  <c r="P364" i="13"/>
  <c r="Q371" i="13"/>
  <c r="N377" i="13"/>
  <c r="G377" i="13" s="1"/>
  <c r="J402" i="13"/>
  <c r="K410" i="13"/>
  <c r="N414" i="13"/>
  <c r="Q415" i="13"/>
  <c r="Q432" i="13"/>
  <c r="Q439" i="13"/>
  <c r="N450" i="13"/>
  <c r="N455" i="13"/>
  <c r="Q457" i="13"/>
  <c r="H477" i="13"/>
  <c r="D478" i="13"/>
  <c r="N481" i="13"/>
  <c r="J487" i="13"/>
  <c r="N491" i="13"/>
  <c r="M494" i="9"/>
  <c r="M493" i="13"/>
  <c r="P526" i="13"/>
  <c r="I581" i="13"/>
  <c r="E580" i="13"/>
  <c r="H609" i="13"/>
  <c r="P620" i="13"/>
  <c r="H163" i="13"/>
  <c r="I172" i="13"/>
  <c r="N213" i="13"/>
  <c r="P217" i="13"/>
  <c r="N237" i="13"/>
  <c r="J303" i="13"/>
  <c r="Q345" i="13"/>
  <c r="J463" i="13"/>
  <c r="K463" i="9"/>
  <c r="C469" i="13"/>
  <c r="N487" i="13"/>
  <c r="D488" i="13"/>
  <c r="O493" i="13"/>
  <c r="O493" i="9" s="1"/>
  <c r="O494" i="9"/>
  <c r="L511" i="13"/>
  <c r="O516" i="13"/>
  <c r="P521" i="13"/>
  <c r="G524" i="13"/>
  <c r="G551" i="13"/>
  <c r="N553" i="13"/>
  <c r="P557" i="13"/>
  <c r="J560" i="13"/>
  <c r="H560" i="13"/>
  <c r="K558" i="13"/>
  <c r="G570" i="13"/>
  <c r="G570" i="9" s="1"/>
  <c r="J570" i="9"/>
  <c r="J581" i="13"/>
  <c r="G580" i="13"/>
  <c r="G190" i="13"/>
  <c r="J267" i="13"/>
  <c r="G271" i="13"/>
  <c r="J273" i="13"/>
  <c r="M334" i="13"/>
  <c r="M335" i="9"/>
  <c r="D329" i="13"/>
  <c r="I350" i="13"/>
  <c r="J351" i="13"/>
  <c r="K351" i="9"/>
  <c r="J360" i="13"/>
  <c r="H366" i="13"/>
  <c r="H366" i="9" s="1"/>
  <c r="K366" i="9"/>
  <c r="K12" i="13"/>
  <c r="L13" i="13"/>
  <c r="Q19" i="13"/>
  <c r="Q41" i="13"/>
  <c r="M67" i="13"/>
  <c r="H69" i="13"/>
  <c r="H72" i="13"/>
  <c r="O74" i="13"/>
  <c r="I88" i="13"/>
  <c r="Q83" i="13"/>
  <c r="M93" i="13"/>
  <c r="H95" i="13"/>
  <c r="H95" i="9" s="1"/>
  <c r="K96" i="13"/>
  <c r="H97" i="13"/>
  <c r="H97" i="9" s="1"/>
  <c r="O93" i="13"/>
  <c r="O98" i="9"/>
  <c r="J108" i="13"/>
  <c r="G113" i="13"/>
  <c r="G119" i="13"/>
  <c r="M120" i="13"/>
  <c r="G129" i="13"/>
  <c r="L132" i="13"/>
  <c r="L131" i="13" s="1"/>
  <c r="J133" i="13"/>
  <c r="O136" i="13"/>
  <c r="I140" i="13"/>
  <c r="M143" i="13"/>
  <c r="P143" i="13"/>
  <c r="Q148" i="13"/>
  <c r="G150" i="13"/>
  <c r="I157" i="13"/>
  <c r="I163" i="13"/>
  <c r="G164" i="13"/>
  <c r="J169" i="13"/>
  <c r="G170" i="13"/>
  <c r="N172" i="13"/>
  <c r="N171" i="13" s="1"/>
  <c r="H175" i="13"/>
  <c r="O178" i="13"/>
  <c r="I189" i="13"/>
  <c r="K200" i="13"/>
  <c r="H206" i="13"/>
  <c r="H208" i="13"/>
  <c r="K209" i="13"/>
  <c r="Q217" i="13"/>
  <c r="J220" i="13"/>
  <c r="K220" i="9"/>
  <c r="G224" i="13"/>
  <c r="M225" i="13"/>
  <c r="L230" i="13"/>
  <c r="L232" i="9"/>
  <c r="J234" i="13"/>
  <c r="G235" i="13"/>
  <c r="L244" i="13"/>
  <c r="J245" i="13"/>
  <c r="K245" i="9"/>
  <c r="J247" i="13"/>
  <c r="H249" i="13"/>
  <c r="L251" i="13"/>
  <c r="N252" i="13"/>
  <c r="P261" i="13"/>
  <c r="Q264" i="13"/>
  <c r="G266" i="13"/>
  <c r="N265" i="13"/>
  <c r="G285" i="13"/>
  <c r="M290" i="13"/>
  <c r="M294" i="13"/>
  <c r="N295" i="13"/>
  <c r="O304" i="13"/>
  <c r="P304" i="13"/>
  <c r="D309" i="13"/>
  <c r="D309" i="9" s="1"/>
  <c r="P310" i="13"/>
  <c r="Q310" i="13"/>
  <c r="Q311" i="9"/>
  <c r="K313" i="13"/>
  <c r="K333" i="13"/>
  <c r="J346" i="13"/>
  <c r="G347" i="13"/>
  <c r="M349" i="13"/>
  <c r="P349" i="13"/>
  <c r="I357" i="13"/>
  <c r="N357" i="13"/>
  <c r="E363" i="13"/>
  <c r="E363" i="9" s="1"/>
  <c r="I373" i="13"/>
  <c r="O376" i="13"/>
  <c r="H376" i="13" s="1"/>
  <c r="I383" i="13"/>
  <c r="P383" i="9"/>
  <c r="L385" i="13"/>
  <c r="G388" i="13"/>
  <c r="M394" i="13"/>
  <c r="H417" i="13"/>
  <c r="J418" i="13"/>
  <c r="H433" i="13"/>
  <c r="I434" i="13"/>
  <c r="P434" i="9"/>
  <c r="I437" i="13"/>
  <c r="N441" i="13"/>
  <c r="G441" i="13" s="1"/>
  <c r="K450" i="13"/>
  <c r="I453" i="13"/>
  <c r="J454" i="13"/>
  <c r="J459" i="13"/>
  <c r="L459" i="9"/>
  <c r="L462" i="13"/>
  <c r="N462" i="13"/>
  <c r="G465" i="13"/>
  <c r="O466" i="13"/>
  <c r="E469" i="13"/>
  <c r="K473" i="13"/>
  <c r="H473" i="13" s="1"/>
  <c r="Q472" i="13"/>
  <c r="P476" i="13"/>
  <c r="I481" i="13"/>
  <c r="O483" i="13"/>
  <c r="N485" i="13"/>
  <c r="P493" i="13"/>
  <c r="J496" i="9"/>
  <c r="G496" i="13"/>
  <c r="E499" i="13"/>
  <c r="E499" i="9" s="1"/>
  <c r="M500" i="13"/>
  <c r="P501" i="13"/>
  <c r="D505" i="13"/>
  <c r="I507" i="13"/>
  <c r="L506" i="13"/>
  <c r="J510" i="13"/>
  <c r="J507" i="13" s="1"/>
  <c r="G513" i="13"/>
  <c r="G519" i="13"/>
  <c r="G528" i="13"/>
  <c r="Q537" i="13"/>
  <c r="G546" i="13"/>
  <c r="G549" i="13"/>
  <c r="M552" i="13"/>
  <c r="N558" i="13"/>
  <c r="N570" i="9"/>
  <c r="H570" i="13"/>
  <c r="H570" i="9" s="1"/>
  <c r="N569" i="13"/>
  <c r="J577" i="13"/>
  <c r="J575" i="13"/>
  <c r="P626" i="13"/>
  <c r="P83" i="13"/>
  <c r="G116" i="13"/>
  <c r="G118" i="13"/>
  <c r="Q168" i="13"/>
  <c r="I226" i="13"/>
  <c r="N244" i="13"/>
  <c r="P254" i="13"/>
  <c r="E257" i="13"/>
  <c r="M259" i="13"/>
  <c r="J358" i="13"/>
  <c r="K358" i="9"/>
  <c r="I380" i="13"/>
  <c r="P380" i="9"/>
  <c r="H383" i="13"/>
  <c r="O383" i="9"/>
  <c r="I10" i="13"/>
  <c r="G28" i="13"/>
  <c r="O29" i="13"/>
  <c r="I31" i="13"/>
  <c r="J39" i="13"/>
  <c r="G40" i="13"/>
  <c r="M41" i="13"/>
  <c r="I44" i="13"/>
  <c r="J58" i="13"/>
  <c r="Q63" i="13"/>
  <c r="L12" i="13"/>
  <c r="M11" i="13"/>
  <c r="K37" i="13"/>
  <c r="H38" i="13"/>
  <c r="J53" i="13"/>
  <c r="M56" i="13"/>
  <c r="N61" i="13"/>
  <c r="I65" i="13"/>
  <c r="K68" i="13"/>
  <c r="I69" i="13"/>
  <c r="P67" i="13"/>
  <c r="C78" i="13"/>
  <c r="Q79" i="13"/>
  <c r="C82" i="13"/>
  <c r="K90" i="13"/>
  <c r="J91" i="13"/>
  <c r="G91" i="13" s="1"/>
  <c r="I95" i="13"/>
  <c r="I95" i="9" s="1"/>
  <c r="C100" i="13"/>
  <c r="C100" i="9" s="1"/>
  <c r="C101" i="9"/>
  <c r="Q101" i="13"/>
  <c r="Q102" i="9"/>
  <c r="K112" i="13"/>
  <c r="K111" i="13" s="1"/>
  <c r="I115" i="13"/>
  <c r="N121" i="13"/>
  <c r="D126" i="13"/>
  <c r="N127" i="13"/>
  <c r="M131" i="13"/>
  <c r="H135" i="13"/>
  <c r="P136" i="13"/>
  <c r="K140" i="13"/>
  <c r="O143" i="13"/>
  <c r="I149" i="13"/>
  <c r="J152" i="13"/>
  <c r="M153" i="13"/>
  <c r="G167" i="13"/>
  <c r="L168" i="13"/>
  <c r="M171" i="13"/>
  <c r="J180" i="13"/>
  <c r="M183" i="13"/>
  <c r="M188" i="13"/>
  <c r="G199" i="13"/>
  <c r="J201" i="13"/>
  <c r="O202" i="13"/>
  <c r="H205" i="13"/>
  <c r="M222" i="13"/>
  <c r="Q225" i="13"/>
  <c r="K230" i="13"/>
  <c r="J231" i="13"/>
  <c r="H234" i="13"/>
  <c r="I241" i="13"/>
  <c r="M243" i="13"/>
  <c r="H247" i="13"/>
  <c r="I249" i="13"/>
  <c r="M251" i="13"/>
  <c r="O251" i="13"/>
  <c r="H256" i="13"/>
  <c r="L258" i="13"/>
  <c r="O258" i="13"/>
  <c r="Q261" i="13"/>
  <c r="O261" i="13"/>
  <c r="M269" i="13"/>
  <c r="N270" i="13"/>
  <c r="H278" i="13"/>
  <c r="M283" i="13"/>
  <c r="O286" i="13"/>
  <c r="O289" i="13"/>
  <c r="N290" i="13"/>
  <c r="O294" i="13"/>
  <c r="E309" i="13"/>
  <c r="E309" i="9" s="1"/>
  <c r="I311" i="13"/>
  <c r="I311" i="9" s="1"/>
  <c r="I318" i="13"/>
  <c r="I318" i="9" s="1"/>
  <c r="H331" i="13"/>
  <c r="L333" i="13"/>
  <c r="G336" i="13"/>
  <c r="E334" i="13" s="1"/>
  <c r="E333" i="13" s="1"/>
  <c r="Q337" i="13"/>
  <c r="H343" i="13"/>
  <c r="N350" i="13"/>
  <c r="H361" i="13"/>
  <c r="P356" i="13"/>
  <c r="M365" i="9"/>
  <c r="N365" i="13"/>
  <c r="N366" i="9"/>
  <c r="H368" i="13"/>
  <c r="H368" i="9" s="1"/>
  <c r="Q375" i="13"/>
  <c r="M378" i="13"/>
  <c r="M384" i="13"/>
  <c r="N399" i="13"/>
  <c r="K413" i="13"/>
  <c r="E407" i="13"/>
  <c r="K416" i="13"/>
  <c r="I417" i="13"/>
  <c r="L418" i="13"/>
  <c r="O423" i="13"/>
  <c r="G430" i="13"/>
  <c r="J433" i="13"/>
  <c r="G435" i="13"/>
  <c r="M439" i="13"/>
  <c r="H441" i="13"/>
  <c r="O441" i="9"/>
  <c r="O442" i="13"/>
  <c r="H442" i="13" s="1"/>
  <c r="N447" i="13"/>
  <c r="O447" i="9"/>
  <c r="L450" i="13"/>
  <c r="J453" i="13"/>
  <c r="M457" i="13"/>
  <c r="N458" i="13"/>
  <c r="P466" i="13"/>
  <c r="I473" i="13"/>
  <c r="I474" i="13"/>
  <c r="Q476" i="13"/>
  <c r="E478" i="13"/>
  <c r="Q478" i="13"/>
  <c r="J488" i="13"/>
  <c r="I489" i="13"/>
  <c r="Q493" i="13"/>
  <c r="Q494" i="9"/>
  <c r="H498" i="13"/>
  <c r="H498" i="9" s="1"/>
  <c r="Q501" i="13"/>
  <c r="N512" i="13"/>
  <c r="O521" i="13"/>
  <c r="G533" i="13"/>
  <c r="G541" i="13"/>
  <c r="H543" i="13"/>
  <c r="M547" i="13"/>
  <c r="J565" i="13"/>
  <c r="J565" i="9" s="1"/>
  <c r="K565" i="9"/>
  <c r="E567" i="13"/>
  <c r="E567" i="9" s="1"/>
  <c r="H575" i="13"/>
  <c r="N577" i="13"/>
  <c r="N575" i="13"/>
  <c r="I590" i="13"/>
  <c r="J595" i="13"/>
  <c r="J591" i="13"/>
  <c r="E92" i="13"/>
  <c r="E92" i="9" s="1"/>
  <c r="E93" i="9"/>
  <c r="Q107" i="13"/>
  <c r="I114" i="13"/>
  <c r="M123" i="13"/>
  <c r="M123" i="9" s="1"/>
  <c r="M124" i="9"/>
  <c r="J198" i="13"/>
  <c r="O280" i="13"/>
  <c r="I21" i="13"/>
  <c r="G23" i="13"/>
  <c r="J25" i="13"/>
  <c r="H31" i="13"/>
  <c r="K31" i="9"/>
  <c r="H36" i="13"/>
  <c r="H43" i="13"/>
  <c r="K44" i="13"/>
  <c r="K41" i="13" s="1"/>
  <c r="H45" i="13"/>
  <c r="N49" i="13"/>
  <c r="I52" i="13"/>
  <c r="J65" i="13"/>
  <c r="G65" i="13" s="1"/>
  <c r="D82" i="13"/>
  <c r="M83" i="13"/>
  <c r="N84" i="13"/>
  <c r="H87" i="13"/>
  <c r="K88" i="13"/>
  <c r="H89" i="13"/>
  <c r="L94" i="13"/>
  <c r="J95" i="13"/>
  <c r="J95" i="9" s="1"/>
  <c r="K95" i="9"/>
  <c r="J97" i="13"/>
  <c r="D100" i="13"/>
  <c r="D100" i="9" s="1"/>
  <c r="D101" i="9"/>
  <c r="D106" i="13"/>
  <c r="L112" i="13"/>
  <c r="J115" i="13"/>
  <c r="N132" i="13"/>
  <c r="I135" i="13"/>
  <c r="H141" i="13"/>
  <c r="K141" i="9"/>
  <c r="O156" i="13"/>
  <c r="O162" i="13"/>
  <c r="M168" i="13"/>
  <c r="G176" i="13"/>
  <c r="M179" i="13"/>
  <c r="K207" i="13"/>
  <c r="J208" i="13"/>
  <c r="J207" i="13" s="1"/>
  <c r="H215" i="13"/>
  <c r="G221" i="13"/>
  <c r="K222" i="13"/>
  <c r="J226" i="13"/>
  <c r="H239" i="13"/>
  <c r="M236" i="13"/>
  <c r="N241" i="13"/>
  <c r="K265" i="13"/>
  <c r="H275" i="13"/>
  <c r="K283" i="13"/>
  <c r="P286" i="13"/>
  <c r="P289" i="13"/>
  <c r="J297" i="13"/>
  <c r="H305" i="13"/>
  <c r="H311" i="13"/>
  <c r="H311" i="9" s="1"/>
  <c r="K311" i="9"/>
  <c r="N313" i="13"/>
  <c r="N314" i="9"/>
  <c r="P333" i="13"/>
  <c r="K337" i="13"/>
  <c r="G339" i="13"/>
  <c r="I343" i="13"/>
  <c r="H354" i="13"/>
  <c r="C363" i="13"/>
  <c r="C363" i="9" s="1"/>
  <c r="C364" i="9"/>
  <c r="N373" i="13"/>
  <c r="O373" i="9"/>
  <c r="O379" i="13"/>
  <c r="H379" i="13" s="1"/>
  <c r="M381" i="13"/>
  <c r="N385" i="13"/>
  <c r="I387" i="13"/>
  <c r="G389" i="13"/>
  <c r="J401" i="13"/>
  <c r="O412" i="13"/>
  <c r="L416" i="13"/>
  <c r="J417" i="13"/>
  <c r="P423" i="13"/>
  <c r="P442" i="13"/>
  <c r="M445" i="13"/>
  <c r="M449" i="13"/>
  <c r="K458" i="13"/>
  <c r="G480" i="13"/>
  <c r="K488" i="13"/>
  <c r="I497" i="13"/>
  <c r="I497" i="9" s="1"/>
  <c r="I502" i="13"/>
  <c r="I502" i="9" s="1"/>
  <c r="N507" i="13"/>
  <c r="M516" i="13"/>
  <c r="J525" i="13"/>
  <c r="G525" i="13" s="1"/>
  <c r="I527" i="13"/>
  <c r="J530" i="13"/>
  <c r="J527" i="13" s="1"/>
  <c r="M542" i="13"/>
  <c r="Q557" i="13"/>
  <c r="N565" i="9"/>
  <c r="N564" i="13"/>
  <c r="M569" i="9"/>
  <c r="M568" i="13"/>
  <c r="I575" i="13"/>
  <c r="M623" i="13"/>
  <c r="J38" i="13"/>
  <c r="J52" i="13"/>
  <c r="K52" i="9"/>
  <c r="P60" i="13"/>
  <c r="J69" i="13"/>
  <c r="J72" i="13"/>
  <c r="N90" i="13"/>
  <c r="N96" i="13"/>
  <c r="N96" i="9" s="1"/>
  <c r="H99" i="13"/>
  <c r="H99" i="9" s="1"/>
  <c r="K102" i="13"/>
  <c r="H103" i="13"/>
  <c r="H103" i="9" s="1"/>
  <c r="G109" i="13"/>
  <c r="M111" i="13"/>
  <c r="Q120" i="13"/>
  <c r="Q123" i="13"/>
  <c r="Q123" i="9" s="1"/>
  <c r="Q124" i="9"/>
  <c r="H138" i="13"/>
  <c r="K138" i="9"/>
  <c r="M139" i="13"/>
  <c r="H160" i="13"/>
  <c r="M174" i="13"/>
  <c r="N179" i="13"/>
  <c r="O183" i="13"/>
  <c r="N189" i="13"/>
  <c r="M196" i="13"/>
  <c r="N200" i="13"/>
  <c r="Q202" i="13"/>
  <c r="I207" i="13"/>
  <c r="J219" i="13"/>
  <c r="N230" i="13"/>
  <c r="Q236" i="13"/>
  <c r="I239" i="13"/>
  <c r="J256" i="13"/>
  <c r="K256" i="9"/>
  <c r="I262" i="13"/>
  <c r="H268" i="13"/>
  <c r="J272" i="13"/>
  <c r="H302" i="13"/>
  <c r="G312" i="13"/>
  <c r="G312" i="9" s="1"/>
  <c r="J312" i="9"/>
  <c r="O310" i="13"/>
  <c r="O310" i="9" s="1"/>
  <c r="O313" i="9"/>
  <c r="H315" i="13"/>
  <c r="H315" i="9" s="1"/>
  <c r="G322" i="13"/>
  <c r="G322" i="9" s="1"/>
  <c r="J322" i="9"/>
  <c r="I331" i="13"/>
  <c r="Q333" i="13"/>
  <c r="L349" i="13"/>
  <c r="H352" i="13"/>
  <c r="O356" i="13"/>
  <c r="J359" i="13"/>
  <c r="I367" i="13"/>
  <c r="I367" i="9" s="1"/>
  <c r="L367" i="9"/>
  <c r="J368" i="13"/>
  <c r="J368" i="9" s="1"/>
  <c r="K368" i="9"/>
  <c r="H377" i="13"/>
  <c r="K378" i="13"/>
  <c r="P379" i="13"/>
  <c r="O382" i="13"/>
  <c r="O381" i="13" s="1"/>
  <c r="J387" i="13"/>
  <c r="J385" i="13" s="1"/>
  <c r="I411" i="13"/>
  <c r="H414" i="13"/>
  <c r="H440" i="13"/>
  <c r="O449" i="13"/>
  <c r="H460" i="13"/>
  <c r="I464" i="13"/>
  <c r="I467" i="13"/>
  <c r="H468" i="13"/>
  <c r="K468" i="9"/>
  <c r="J477" i="13"/>
  <c r="K478" i="13"/>
  <c r="J482" i="13"/>
  <c r="J484" i="13"/>
  <c r="O506" i="13"/>
  <c r="K517" i="13"/>
  <c r="G523" i="13"/>
  <c r="N538" i="13"/>
  <c r="D536" i="13"/>
  <c r="O547" i="13"/>
  <c r="H550" i="13"/>
  <c r="K548" i="13"/>
  <c r="J550" i="13"/>
  <c r="J548" i="13" s="1"/>
  <c r="H588" i="13"/>
  <c r="N617" i="9"/>
  <c r="N618" i="13"/>
  <c r="N618" i="9" s="1"/>
  <c r="N26" i="13"/>
  <c r="M29" i="13"/>
  <c r="N30" i="13"/>
  <c r="N70" i="13"/>
  <c r="I76" i="13"/>
  <c r="J87" i="13"/>
  <c r="L102" i="13"/>
  <c r="I103" i="13"/>
  <c r="I103" i="9" s="1"/>
  <c r="G110" i="13"/>
  <c r="P111" i="13"/>
  <c r="J117" i="13"/>
  <c r="P120" i="13"/>
  <c r="H122" i="13"/>
  <c r="I125" i="13"/>
  <c r="I125" i="9" s="1"/>
  <c r="O131" i="13"/>
  <c r="I134" i="13"/>
  <c r="I138" i="13"/>
  <c r="L138" i="9"/>
  <c r="O139" i="13"/>
  <c r="N140" i="13"/>
  <c r="C142" i="13"/>
  <c r="J145" i="13"/>
  <c r="K145" i="9"/>
  <c r="M148" i="13"/>
  <c r="N149" i="13"/>
  <c r="P153" i="13"/>
  <c r="Q156" i="13"/>
  <c r="P162" i="13"/>
  <c r="K165" i="13"/>
  <c r="O168" i="13"/>
  <c r="Q171" i="13"/>
  <c r="H173" i="13"/>
  <c r="N175" i="13"/>
  <c r="E177" i="13"/>
  <c r="I181" i="13"/>
  <c r="J186" i="13"/>
  <c r="J184" i="13" s="1"/>
  <c r="O188" i="13"/>
  <c r="H192" i="13"/>
  <c r="I193" i="13"/>
  <c r="I200" i="13"/>
  <c r="G204" i="13"/>
  <c r="N207" i="13"/>
  <c r="H210" i="13"/>
  <c r="H216" i="13"/>
  <c r="K218" i="13"/>
  <c r="M218" i="13"/>
  <c r="N226" i="13"/>
  <c r="P229" i="13"/>
  <c r="H232" i="13"/>
  <c r="H233" i="13"/>
  <c r="G238" i="13"/>
  <c r="P243" i="13"/>
  <c r="H246" i="13"/>
  <c r="I252" i="13"/>
  <c r="H253" i="13"/>
  <c r="Q258" i="13"/>
  <c r="H260" i="13"/>
  <c r="J262" i="13"/>
  <c r="G263" i="13"/>
  <c r="P269" i="13"/>
  <c r="Q269" i="13"/>
  <c r="I272" i="13"/>
  <c r="G276" i="13"/>
  <c r="O277" i="13"/>
  <c r="H281" i="13"/>
  <c r="O283" i="13"/>
  <c r="P283" i="13"/>
  <c r="H287" i="13"/>
  <c r="I295" i="13"/>
  <c r="K304" i="13"/>
  <c r="I305" i="13"/>
  <c r="G306" i="13"/>
  <c r="G319" i="13"/>
  <c r="G319" i="9" s="1"/>
  <c r="N319" i="9"/>
  <c r="M330" i="13"/>
  <c r="H334" i="13"/>
  <c r="K342" i="13"/>
  <c r="O349" i="13"/>
  <c r="G355" i="13"/>
  <c r="G374" i="13"/>
  <c r="J375" i="13"/>
  <c r="Q378" i="13"/>
  <c r="N416" i="13"/>
  <c r="Q418" i="13"/>
  <c r="H424" i="13"/>
  <c r="O457" i="13"/>
  <c r="I460" i="13"/>
  <c r="J461" i="13"/>
  <c r="J464" i="13"/>
  <c r="M466" i="13"/>
  <c r="M469" i="13"/>
  <c r="M476" i="13"/>
  <c r="L478" i="13"/>
  <c r="I485" i="13"/>
  <c r="H487" i="13"/>
  <c r="P488" i="13"/>
  <c r="H494" i="13"/>
  <c r="K494" i="9"/>
  <c r="G495" i="13"/>
  <c r="G495" i="9" s="1"/>
  <c r="J495" i="9"/>
  <c r="N502" i="13"/>
  <c r="N502" i="9" s="1"/>
  <c r="N527" i="13"/>
  <c r="O537" i="13"/>
  <c r="J540" i="13"/>
  <c r="Q552" i="13"/>
  <c r="L557" i="13"/>
  <c r="M564" i="9"/>
  <c r="M563" i="13"/>
  <c r="H603" i="13"/>
  <c r="O11" i="13"/>
  <c r="H21" i="13"/>
  <c r="K21" i="9"/>
  <c r="O19" i="13"/>
  <c r="J43" i="13"/>
  <c r="J59" i="13"/>
  <c r="Q60" i="13"/>
  <c r="H27" i="13"/>
  <c r="J36" i="13"/>
  <c r="E46" i="13"/>
  <c r="H54" i="13"/>
  <c r="O56" i="13"/>
  <c r="H59" i="13"/>
  <c r="N64" i="13"/>
  <c r="O67" i="13"/>
  <c r="N88" i="13"/>
  <c r="I90" i="13"/>
  <c r="P93" i="13"/>
  <c r="P96" i="9"/>
  <c r="J99" i="13"/>
  <c r="J99" i="9" s="1"/>
  <c r="L99" i="9"/>
  <c r="J103" i="13"/>
  <c r="Q111" i="13"/>
  <c r="H114" i="13"/>
  <c r="K124" i="13"/>
  <c r="J125" i="13"/>
  <c r="J124" i="13" s="1"/>
  <c r="J124" i="9" s="1"/>
  <c r="J134" i="13"/>
  <c r="M136" i="13"/>
  <c r="P139" i="13"/>
  <c r="P168" i="13"/>
  <c r="H182" i="13"/>
  <c r="K182" i="9"/>
  <c r="P188" i="13"/>
  <c r="H198" i="13"/>
  <c r="Q195" i="13"/>
  <c r="L202" i="13"/>
  <c r="N203" i="13"/>
  <c r="Q212" i="13"/>
  <c r="H214" i="13"/>
  <c r="N218" i="13"/>
  <c r="Q229" i="13"/>
  <c r="Q243" i="13"/>
  <c r="M254" i="13"/>
  <c r="N255" i="13"/>
  <c r="I259" i="13"/>
  <c r="L261" i="13"/>
  <c r="M264" i="13"/>
  <c r="H267" i="13"/>
  <c r="D257" i="13"/>
  <c r="H271" i="13"/>
  <c r="K274" i="13"/>
  <c r="M274" i="13"/>
  <c r="I281" i="13"/>
  <c r="I287" i="13"/>
  <c r="K295" i="13"/>
  <c r="J298" i="13"/>
  <c r="O299" i="13"/>
  <c r="L304" i="13"/>
  <c r="M305" i="13"/>
  <c r="J315" i="13"/>
  <c r="C323" i="13"/>
  <c r="C323" i="9" s="1"/>
  <c r="I325" i="13"/>
  <c r="I325" i="9" s="1"/>
  <c r="L325" i="9"/>
  <c r="N331" i="13"/>
  <c r="I334" i="13"/>
  <c r="L342" i="13"/>
  <c r="M342" i="13"/>
  <c r="P345" i="13"/>
  <c r="G348" i="13"/>
  <c r="Q349" i="13"/>
  <c r="H351" i="13"/>
  <c r="G353" i="13"/>
  <c r="N354" i="13"/>
  <c r="H360" i="13"/>
  <c r="L356" i="13"/>
  <c r="O364" i="13"/>
  <c r="I366" i="13"/>
  <c r="I366" i="9" s="1"/>
  <c r="M371" i="13"/>
  <c r="P372" i="13"/>
  <c r="K375" i="13"/>
  <c r="P381" i="13"/>
  <c r="M391" i="13"/>
  <c r="P398" i="13"/>
  <c r="H400" i="13"/>
  <c r="O415" i="13"/>
  <c r="O420" i="13"/>
  <c r="I424" i="13"/>
  <c r="N425" i="13"/>
  <c r="O428" i="13"/>
  <c r="K432" i="13"/>
  <c r="O445" i="13"/>
  <c r="G448" i="13"/>
  <c r="J460" i="13"/>
  <c r="H463" i="13"/>
  <c r="N467" i="13"/>
  <c r="P470" i="13"/>
  <c r="L472" i="13"/>
  <c r="N474" i="13"/>
  <c r="N477" i="13"/>
  <c r="C478" i="13"/>
  <c r="M478" i="13"/>
  <c r="I483" i="13"/>
  <c r="H485" i="13"/>
  <c r="N495" i="9"/>
  <c r="N494" i="13"/>
  <c r="N494" i="9" s="1"/>
  <c r="M506" i="13"/>
  <c r="G509" i="13"/>
  <c r="O511" i="13"/>
  <c r="I517" i="13"/>
  <c r="N522" i="13"/>
  <c r="P531" i="13"/>
  <c r="G534" i="13"/>
  <c r="Q547" i="13"/>
  <c r="H591" i="13"/>
  <c r="N611" i="13"/>
  <c r="N607" i="13"/>
  <c r="N585" i="13"/>
  <c r="H590" i="13"/>
  <c r="I595" i="13"/>
  <c r="Q594" i="13"/>
  <c r="Q595" i="9"/>
  <c r="N601" i="13"/>
  <c r="J611" i="13"/>
  <c r="J618" i="13"/>
  <c r="J618" i="9" s="1"/>
  <c r="J617" i="9"/>
  <c r="N621" i="13"/>
  <c r="N583" i="13"/>
  <c r="H587" i="13"/>
  <c r="N595" i="13"/>
  <c r="H601" i="13"/>
  <c r="I603" i="13"/>
  <c r="N603" i="13"/>
  <c r="J607" i="13"/>
  <c r="J614" i="13"/>
  <c r="D615" i="13"/>
  <c r="D615" i="9" s="1"/>
  <c r="O620" i="13"/>
  <c r="M629" i="13"/>
  <c r="Q629" i="13"/>
  <c r="P537" i="13"/>
  <c r="I540" i="13"/>
  <c r="L543" i="13"/>
  <c r="I553" i="13"/>
  <c r="G554" i="13"/>
  <c r="G556" i="13"/>
  <c r="I566" i="13"/>
  <c r="I566" i="9" s="1"/>
  <c r="I571" i="13"/>
  <c r="I571" i="9" s="1"/>
  <c r="P574" i="13"/>
  <c r="N590" i="13"/>
  <c r="H599" i="13"/>
  <c r="J603" i="13"/>
  <c r="H607" i="13"/>
  <c r="H611" i="13"/>
  <c r="L623" i="13"/>
  <c r="P623" i="13"/>
  <c r="H630" i="13"/>
  <c r="G631" i="13"/>
  <c r="O574" i="13"/>
  <c r="J587" i="13"/>
  <c r="Q586" i="13"/>
  <c r="N588" i="13"/>
  <c r="Q589" i="13"/>
  <c r="N591" i="13"/>
  <c r="Q592" i="13"/>
  <c r="J597" i="13"/>
  <c r="I599" i="13"/>
  <c r="J606" i="13"/>
  <c r="N609" i="13"/>
  <c r="Q608" i="13"/>
  <c r="L616" i="13"/>
  <c r="J627" i="13"/>
  <c r="J630" i="13"/>
  <c r="J545" i="13"/>
  <c r="E536" i="13"/>
  <c r="G561" i="13"/>
  <c r="P563" i="13"/>
  <c r="P564" i="9"/>
  <c r="H566" i="13"/>
  <c r="H566" i="9" s="1"/>
  <c r="K566" i="9"/>
  <c r="O568" i="13"/>
  <c r="I583" i="13"/>
  <c r="H585" i="13"/>
  <c r="N587" i="13"/>
  <c r="G593" i="13"/>
  <c r="N597" i="13"/>
  <c r="Q596" i="13"/>
  <c r="G602" i="13"/>
  <c r="N606" i="13"/>
  <c r="Q605" i="13"/>
  <c r="G610" i="13"/>
  <c r="H614" i="13"/>
  <c r="O616" i="13"/>
  <c r="H577" i="13"/>
  <c r="I585" i="13"/>
  <c r="I601" i="13"/>
  <c r="H612" i="13"/>
  <c r="I614" i="13"/>
  <c r="H618" i="13"/>
  <c r="H618" i="9" s="1"/>
  <c r="H617" i="9"/>
  <c r="I621" i="13"/>
  <c r="I624" i="13"/>
  <c r="M626" i="13"/>
  <c r="N497" i="13"/>
  <c r="N498" i="9"/>
  <c r="L501" i="9"/>
  <c r="P506" i="13"/>
  <c r="P511" i="13"/>
  <c r="G514" i="13"/>
  <c r="M531" i="13"/>
  <c r="L538" i="13"/>
  <c r="G539" i="13"/>
  <c r="P542" i="13"/>
  <c r="N543" i="13"/>
  <c r="I548" i="13"/>
  <c r="O552" i="13"/>
  <c r="P552" i="13"/>
  <c r="J555" i="13"/>
  <c r="D562" i="13"/>
  <c r="D562" i="9" s="1"/>
  <c r="O563" i="13"/>
  <c r="Q568" i="13"/>
  <c r="H581" i="13"/>
  <c r="H595" i="13"/>
  <c r="I597" i="13"/>
  <c r="J601" i="13"/>
  <c r="I606" i="13"/>
  <c r="I612" i="13"/>
  <c r="J624" i="13"/>
  <c r="G625" i="13"/>
  <c r="O391" i="13"/>
  <c r="H392" i="13"/>
  <c r="G393" i="13"/>
  <c r="N392" i="13"/>
  <c r="N391" i="13" s="1"/>
  <c r="I395" i="13"/>
  <c r="P394" i="13"/>
  <c r="P629" i="13"/>
  <c r="I630" i="13"/>
  <c r="P616" i="13"/>
  <c r="P616" i="9" s="1"/>
  <c r="H76" i="13"/>
  <c r="K75" i="13"/>
  <c r="J76" i="13"/>
  <c r="O107" i="13"/>
  <c r="H108" i="13"/>
  <c r="Q34" i="13"/>
  <c r="I58" i="13"/>
  <c r="L57" i="13"/>
  <c r="I84" i="13"/>
  <c r="H157" i="13"/>
  <c r="K156" i="13"/>
  <c r="H94" i="13"/>
  <c r="H94" i="9" s="1"/>
  <c r="I175" i="13"/>
  <c r="L174" i="13"/>
  <c r="H42" i="13"/>
  <c r="I68" i="13"/>
  <c r="P202" i="13"/>
  <c r="I203" i="13"/>
  <c r="H151" i="13"/>
  <c r="J151" i="13"/>
  <c r="O217" i="13"/>
  <c r="G227" i="13"/>
  <c r="H262" i="13"/>
  <c r="K261" i="13"/>
  <c r="I275" i="13"/>
  <c r="L274" i="13"/>
  <c r="J302" i="13"/>
  <c r="I302" i="13"/>
  <c r="L300" i="13"/>
  <c r="K20" i="13"/>
  <c r="K26" i="13"/>
  <c r="L51" i="13"/>
  <c r="P165" i="13"/>
  <c r="I166" i="13"/>
  <c r="G185" i="13"/>
  <c r="H62" i="13"/>
  <c r="H65" i="13"/>
  <c r="K70" i="13"/>
  <c r="I108" i="13"/>
  <c r="K149" i="13"/>
  <c r="H194" i="13"/>
  <c r="K193" i="13"/>
  <c r="J194" i="13"/>
  <c r="I223" i="13"/>
  <c r="L222" i="13"/>
  <c r="P195" i="13"/>
  <c r="K57" i="13"/>
  <c r="H58" i="13"/>
  <c r="L98" i="13"/>
  <c r="I99" i="13"/>
  <c r="I99" i="9" s="1"/>
  <c r="H191" i="13"/>
  <c r="J191" i="13"/>
  <c r="G141" i="13"/>
  <c r="J140" i="13"/>
  <c r="N163" i="13"/>
  <c r="G182" i="13"/>
  <c r="J181" i="13"/>
  <c r="G206" i="13"/>
  <c r="I210" i="13"/>
  <c r="L209" i="13"/>
  <c r="K30" i="13"/>
  <c r="L75" i="13"/>
  <c r="G161" i="13"/>
  <c r="J160" i="13"/>
  <c r="P178" i="13"/>
  <c r="I179" i="13"/>
  <c r="H197" i="13"/>
  <c r="K196" i="13"/>
  <c r="J197" i="13"/>
  <c r="I213" i="13"/>
  <c r="L212" i="13"/>
  <c r="H240" i="13"/>
  <c r="K237" i="13"/>
  <c r="J240" i="13"/>
  <c r="H115" i="13"/>
  <c r="H134" i="13"/>
  <c r="K213" i="13"/>
  <c r="P225" i="13"/>
  <c r="G250" i="13"/>
  <c r="J249" i="13"/>
  <c r="H259" i="13"/>
  <c r="K258" i="13"/>
  <c r="G321" i="13"/>
  <c r="N318" i="9"/>
  <c r="G332" i="13"/>
  <c r="J331" i="13"/>
  <c r="H385" i="13"/>
  <c r="K384" i="13"/>
  <c r="K162" i="13"/>
  <c r="J166" i="13"/>
  <c r="I218" i="13"/>
  <c r="H226" i="13"/>
  <c r="L237" i="13"/>
  <c r="G282" i="13"/>
  <c r="H152" i="13"/>
  <c r="K159" i="13"/>
  <c r="L162" i="13"/>
  <c r="I196" i="13"/>
  <c r="K203" i="13"/>
  <c r="G308" i="13"/>
  <c r="J305" i="13"/>
  <c r="Q356" i="13"/>
  <c r="I255" i="13"/>
  <c r="H318" i="13"/>
  <c r="H318" i="9" s="1"/>
  <c r="K317" i="9"/>
  <c r="L188" i="13"/>
  <c r="G335" i="13"/>
  <c r="G344" i="13"/>
  <c r="K137" i="13"/>
  <c r="L156" i="13"/>
  <c r="L171" i="13"/>
  <c r="J175" i="13"/>
  <c r="K181" i="13"/>
  <c r="J210" i="13"/>
  <c r="J223" i="13"/>
  <c r="G248" i="13"/>
  <c r="I265" i="13"/>
  <c r="L264" i="13"/>
  <c r="G279" i="13"/>
  <c r="M278" i="13"/>
  <c r="I284" i="13"/>
  <c r="I290" i="13"/>
  <c r="L289" i="13"/>
  <c r="G326" i="13"/>
  <c r="G326" i="9" s="1"/>
  <c r="J325" i="13"/>
  <c r="J325" i="9" s="1"/>
  <c r="O345" i="13"/>
  <c r="H346" i="13"/>
  <c r="I376" i="13"/>
  <c r="L375" i="13"/>
  <c r="H273" i="13"/>
  <c r="H298" i="13"/>
  <c r="G406" i="13"/>
  <c r="J405" i="13"/>
  <c r="G518" i="13"/>
  <c r="N517" i="13"/>
  <c r="L254" i="13"/>
  <c r="K280" i="13"/>
  <c r="L283" i="13"/>
  <c r="H297" i="13"/>
  <c r="J311" i="13"/>
  <c r="J311" i="9" s="1"/>
  <c r="M398" i="13"/>
  <c r="N434" i="13"/>
  <c r="H437" i="13"/>
  <c r="K436" i="13"/>
  <c r="O623" i="13"/>
  <c r="H623" i="13" s="1"/>
  <c r="H624" i="13"/>
  <c r="N624" i="13"/>
  <c r="J284" i="13"/>
  <c r="K371" i="13"/>
  <c r="H372" i="13"/>
  <c r="I392" i="13"/>
  <c r="L391" i="13"/>
  <c r="H404" i="13"/>
  <c r="K403" i="13"/>
  <c r="J404" i="13"/>
  <c r="J440" i="13"/>
  <c r="G452" i="13"/>
  <c r="H571" i="13"/>
  <c r="H571" i="9" s="1"/>
  <c r="J571" i="13"/>
  <c r="J571" i="9" s="1"/>
  <c r="K569" i="13"/>
  <c r="J281" i="13"/>
  <c r="H303" i="13"/>
  <c r="J379" i="13"/>
  <c r="K418" i="13"/>
  <c r="L324" i="13"/>
  <c r="L324" i="9" s="1"/>
  <c r="L330" i="13"/>
  <c r="J334" i="13"/>
  <c r="J343" i="13"/>
  <c r="J354" i="13"/>
  <c r="K357" i="13"/>
  <c r="H358" i="13"/>
  <c r="H380" i="13"/>
  <c r="N380" i="13"/>
  <c r="H395" i="13"/>
  <c r="K394" i="13"/>
  <c r="N395" i="13"/>
  <c r="G396" i="13"/>
  <c r="I401" i="13"/>
  <c r="L399" i="13"/>
  <c r="C407" i="13"/>
  <c r="H446" i="13"/>
  <c r="K445" i="13"/>
  <c r="O471" i="13"/>
  <c r="N473" i="13"/>
  <c r="G529" i="13"/>
  <c r="J382" i="13"/>
  <c r="I455" i="13"/>
  <c r="P449" i="13"/>
  <c r="G468" i="13"/>
  <c r="J467" i="13"/>
  <c r="J275" i="13"/>
  <c r="K365" i="13"/>
  <c r="G422" i="13"/>
  <c r="P433" i="13"/>
  <c r="P457" i="13"/>
  <c r="I522" i="13"/>
  <c r="L521" i="13"/>
  <c r="H387" i="13"/>
  <c r="J446" i="13"/>
  <c r="G544" i="13"/>
  <c r="K574" i="13"/>
  <c r="H583" i="13"/>
  <c r="N630" i="13"/>
  <c r="N616" i="13" s="1"/>
  <c r="J372" i="13"/>
  <c r="N383" i="13"/>
  <c r="N444" i="13"/>
  <c r="I591" i="13"/>
  <c r="L574" i="13"/>
  <c r="H402" i="13"/>
  <c r="H434" i="13"/>
  <c r="K439" i="13"/>
  <c r="L469" i="13"/>
  <c r="M488" i="13"/>
  <c r="I558" i="13"/>
  <c r="H401" i="13"/>
  <c r="L439" i="13"/>
  <c r="L458" i="13"/>
  <c r="I459" i="13"/>
  <c r="L466" i="13"/>
  <c r="L476" i="13"/>
  <c r="I477" i="13"/>
  <c r="H535" i="13"/>
  <c r="K532" i="13"/>
  <c r="J535" i="13"/>
  <c r="C574" i="13"/>
  <c r="I627" i="13"/>
  <c r="L626" i="13"/>
  <c r="L445" i="13"/>
  <c r="H515" i="13"/>
  <c r="K512" i="13"/>
  <c r="J515" i="13"/>
  <c r="I532" i="13"/>
  <c r="G578" i="13"/>
  <c r="E578" i="13"/>
  <c r="L436" i="13"/>
  <c r="K467" i="13"/>
  <c r="J485" i="13"/>
  <c r="G486" i="13"/>
  <c r="E505" i="13"/>
  <c r="I512" i="13"/>
  <c r="H520" i="13"/>
  <c r="K522" i="13"/>
  <c r="J588" i="13"/>
  <c r="K507" i="13"/>
  <c r="J520" i="13"/>
  <c r="H525" i="13"/>
  <c r="K527" i="13"/>
  <c r="L516" i="13"/>
  <c r="K542" i="13"/>
  <c r="L500" i="13"/>
  <c r="L500" i="9" s="1"/>
  <c r="H510" i="13"/>
  <c r="H530" i="13"/>
  <c r="H545" i="13"/>
  <c r="K564" i="13"/>
  <c r="H565" i="13"/>
  <c r="H565" i="9" s="1"/>
  <c r="N614" i="13"/>
  <c r="K626" i="13"/>
  <c r="O629" i="13"/>
  <c r="O490" i="13"/>
  <c r="O490" i="9" s="1"/>
  <c r="L620" i="13"/>
  <c r="I494" i="9" l="1"/>
  <c r="H494" i="9"/>
  <c r="K79" i="13"/>
  <c r="H79" i="13" s="1"/>
  <c r="L364" i="13"/>
  <c r="L364" i="9" s="1"/>
  <c r="K474" i="13"/>
  <c r="K469" i="13" s="1"/>
  <c r="L384" i="13"/>
  <c r="I384" i="13" s="1"/>
  <c r="K552" i="13"/>
  <c r="H552" i="13" s="1"/>
  <c r="K101" i="13"/>
  <c r="K101" i="9" s="1"/>
  <c r="G373" i="13"/>
  <c r="P419" i="13"/>
  <c r="I419" i="13" s="1"/>
  <c r="I446" i="13"/>
  <c r="I372" i="13"/>
  <c r="H179" i="13"/>
  <c r="K365" i="9"/>
  <c r="G584" i="13"/>
  <c r="G585" i="13" s="1"/>
  <c r="M209" i="13"/>
  <c r="G589" i="13"/>
  <c r="G590" i="13" s="1"/>
  <c r="K269" i="13"/>
  <c r="H269" i="13" s="1"/>
  <c r="H399" i="13"/>
  <c r="I428" i="13"/>
  <c r="I429" i="13" s="1"/>
  <c r="L569" i="9"/>
  <c r="G85" i="13"/>
  <c r="H300" i="13"/>
  <c r="K569" i="9"/>
  <c r="J14" i="13"/>
  <c r="H98" i="13"/>
  <c r="H98" i="9" s="1"/>
  <c r="I569" i="13"/>
  <c r="I569" i="9" s="1"/>
  <c r="J621" i="13"/>
  <c r="G621" i="13" s="1"/>
  <c r="K620" i="13"/>
  <c r="J20" i="13"/>
  <c r="G20" i="13" s="1"/>
  <c r="H14" i="13"/>
  <c r="G291" i="13"/>
  <c r="L568" i="13"/>
  <c r="L568" i="9" s="1"/>
  <c r="I14" i="13"/>
  <c r="N14" i="13"/>
  <c r="G400" i="13"/>
  <c r="M280" i="13"/>
  <c r="G617" i="13"/>
  <c r="G617" i="9" s="1"/>
  <c r="K93" i="13"/>
  <c r="K93" i="9" s="1"/>
  <c r="I42" i="13"/>
  <c r="I30" i="13"/>
  <c r="L60" i="13"/>
  <c r="I60" i="13" s="1"/>
  <c r="I61" i="13"/>
  <c r="K143" i="13"/>
  <c r="K142" i="13" s="1"/>
  <c r="I244" i="13"/>
  <c r="M310" i="13"/>
  <c r="M310" i="9" s="1"/>
  <c r="M367" i="9"/>
  <c r="I564" i="13"/>
  <c r="I564" i="9" s="1"/>
  <c r="H244" i="13"/>
  <c r="H218" i="13"/>
  <c r="O411" i="13"/>
  <c r="H411" i="13" s="1"/>
  <c r="H230" i="13"/>
  <c r="M159" i="13"/>
  <c r="M147" i="13" s="1"/>
  <c r="I230" i="13"/>
  <c r="K564" i="9"/>
  <c r="K171" i="13"/>
  <c r="H171" i="13" s="1"/>
  <c r="K449" i="13"/>
  <c r="H449" i="13" s="1"/>
  <c r="J455" i="13"/>
  <c r="G455" i="13" s="1"/>
  <c r="I440" i="13"/>
  <c r="M364" i="13"/>
  <c r="M364" i="9" s="1"/>
  <c r="E596" i="13"/>
  <c r="I270" i="13"/>
  <c r="H51" i="13"/>
  <c r="L83" i="13"/>
  <c r="G576" i="13"/>
  <c r="G577" i="13" s="1"/>
  <c r="H553" i="13"/>
  <c r="H455" i="13"/>
  <c r="P420" i="9"/>
  <c r="G314" i="13"/>
  <c r="G314" i="9" s="1"/>
  <c r="G600" i="13"/>
  <c r="G601" i="13" s="1"/>
  <c r="C320" i="13"/>
  <c r="C320" i="9" s="1"/>
  <c r="N165" i="13"/>
  <c r="G169" i="13"/>
  <c r="E292" i="13"/>
  <c r="I420" i="13"/>
  <c r="I421" i="13" s="1"/>
  <c r="G451" i="13"/>
  <c r="K289" i="13"/>
  <c r="Q599" i="13"/>
  <c r="G599" i="13" s="1"/>
  <c r="N420" i="13"/>
  <c r="P439" i="13"/>
  <c r="K183" i="13"/>
  <c r="H183" i="13" s="1"/>
  <c r="H184" i="13"/>
  <c r="H290" i="13"/>
  <c r="G456" i="13"/>
  <c r="D455" i="13" s="1"/>
  <c r="J88" i="13"/>
  <c r="K349" i="13"/>
  <c r="K50" i="13"/>
  <c r="G560" i="13"/>
  <c r="C558" i="13" s="1"/>
  <c r="G31" i="13"/>
  <c r="L47" i="13"/>
  <c r="G320" i="13"/>
  <c r="G320" i="9" s="1"/>
  <c r="J320" i="9"/>
  <c r="J30" i="13"/>
  <c r="J500" i="13"/>
  <c r="J500" i="9" s="1"/>
  <c r="Q575" i="13"/>
  <c r="J497" i="13"/>
  <c r="J497" i="9" s="1"/>
  <c r="I144" i="13"/>
  <c r="N317" i="13"/>
  <c r="N317" i="9" s="1"/>
  <c r="K34" i="13"/>
  <c r="L142" i="13"/>
  <c r="J317" i="13"/>
  <c r="J498" i="9"/>
  <c r="Q363" i="13"/>
  <c r="Q363" i="9" s="1"/>
  <c r="K188" i="13"/>
  <c r="H188" i="13" s="1"/>
  <c r="L269" i="13"/>
  <c r="H350" i="13"/>
  <c r="J365" i="13"/>
  <c r="J365" i="9" s="1"/>
  <c r="G366" i="13"/>
  <c r="G366" i="9" s="1"/>
  <c r="N183" i="13"/>
  <c r="H462" i="13"/>
  <c r="H616" i="13"/>
  <c r="H616" i="9" s="1"/>
  <c r="P427" i="13"/>
  <c r="G53" i="13"/>
  <c r="P428" i="9"/>
  <c r="K616" i="9"/>
  <c r="N428" i="13"/>
  <c r="G216" i="13"/>
  <c r="G581" i="13"/>
  <c r="J168" i="13"/>
  <c r="G89" i="13"/>
  <c r="Q617" i="9"/>
  <c r="G613" i="13"/>
  <c r="G614" i="13" s="1"/>
  <c r="Q616" i="13"/>
  <c r="O408" i="13"/>
  <c r="H497" i="13"/>
  <c r="H497" i="9" s="1"/>
  <c r="K493" i="13"/>
  <c r="K493" i="9" s="1"/>
  <c r="L67" i="13"/>
  <c r="M100" i="13"/>
  <c r="M100" i="9" s="1"/>
  <c r="I70" i="13"/>
  <c r="H270" i="13"/>
  <c r="I48" i="13"/>
  <c r="J203" i="13"/>
  <c r="N627" i="13"/>
  <c r="N286" i="13"/>
  <c r="H345" i="13"/>
  <c r="N156" i="13"/>
  <c r="N324" i="13"/>
  <c r="N324" i="9" s="1"/>
  <c r="D395" i="13"/>
  <c r="J32" i="13"/>
  <c r="G32" i="13" s="1"/>
  <c r="G33" i="13"/>
  <c r="I310" i="13"/>
  <c r="I310" i="9" s="1"/>
  <c r="L309" i="13"/>
  <c r="I159" i="13"/>
  <c r="M46" i="13"/>
  <c r="H107" i="13"/>
  <c r="I294" i="13"/>
  <c r="J337" i="13"/>
  <c r="J436" i="13"/>
  <c r="N446" i="13"/>
  <c r="J132" i="13"/>
  <c r="G52" i="13"/>
  <c r="K499" i="13"/>
  <c r="K499" i="9" s="1"/>
  <c r="N299" i="13"/>
  <c r="G592" i="13"/>
  <c r="J213" i="13"/>
  <c r="H68" i="13"/>
  <c r="O324" i="9"/>
  <c r="J241" i="13"/>
  <c r="G241" i="13" s="1"/>
  <c r="N349" i="13"/>
  <c r="N153" i="13"/>
  <c r="G361" i="13"/>
  <c r="H330" i="13"/>
  <c r="J137" i="13"/>
  <c r="J558" i="13"/>
  <c r="G138" i="13"/>
  <c r="P101" i="9"/>
  <c r="N168" i="13"/>
  <c r="N501" i="13"/>
  <c r="N501" i="9" s="1"/>
  <c r="G43" i="13"/>
  <c r="H172" i="13"/>
  <c r="I286" i="13"/>
  <c r="J259" i="13"/>
  <c r="G260" i="13"/>
  <c r="G447" i="13"/>
  <c r="I136" i="13"/>
  <c r="J270" i="13"/>
  <c r="I148" i="13"/>
  <c r="G219" i="13"/>
  <c r="K243" i="13"/>
  <c r="H243" i="13" s="1"/>
  <c r="G437" i="13"/>
  <c r="N258" i="13"/>
  <c r="J553" i="13"/>
  <c r="J42" i="13"/>
  <c r="G58" i="13"/>
  <c r="P126" i="13"/>
  <c r="G154" i="13"/>
  <c r="I317" i="13"/>
  <c r="I317" i="9" s="1"/>
  <c r="H502" i="13"/>
  <c r="H502" i="9" s="1"/>
  <c r="I143" i="13"/>
  <c r="I217" i="13"/>
  <c r="K131" i="13"/>
  <c r="H131" i="13" s="1"/>
  <c r="H132" i="13"/>
  <c r="G69" i="13"/>
  <c r="M78" i="13"/>
  <c r="M77" i="13" s="1"/>
  <c r="N337" i="13"/>
  <c r="O500" i="13"/>
  <c r="O499" i="13" s="1"/>
  <c r="G502" i="13"/>
  <c r="G502" i="9" s="1"/>
  <c r="O409" i="9"/>
  <c r="N15" i="13"/>
  <c r="N409" i="13"/>
  <c r="I547" i="13"/>
  <c r="I501" i="13"/>
  <c r="I501" i="9" s="1"/>
  <c r="L563" i="13"/>
  <c r="J218" i="13"/>
  <c r="N101" i="13"/>
  <c r="N101" i="9" s="1"/>
  <c r="G597" i="13"/>
  <c r="G596" i="13" s="1"/>
  <c r="K128" i="13"/>
  <c r="L564" i="9"/>
  <c r="I121" i="13"/>
  <c r="L120" i="13"/>
  <c r="O317" i="9"/>
  <c r="K299" i="13"/>
  <c r="G628" i="13"/>
  <c r="P316" i="13"/>
  <c r="P316" i="9" s="1"/>
  <c r="P567" i="13"/>
  <c r="P567" i="9" s="1"/>
  <c r="Q323" i="13"/>
  <c r="Q323" i="9" s="1"/>
  <c r="H423" i="13"/>
  <c r="M311" i="9"/>
  <c r="K329" i="13"/>
  <c r="H324" i="13"/>
  <c r="H323" i="13" s="1"/>
  <c r="H323" i="9" s="1"/>
  <c r="J350" i="13"/>
  <c r="G395" i="13"/>
  <c r="K251" i="13"/>
  <c r="H251" i="13" s="1"/>
  <c r="G351" i="13"/>
  <c r="H252" i="13"/>
  <c r="G25" i="13"/>
  <c r="I506" i="13"/>
  <c r="Q329" i="13"/>
  <c r="K83" i="13"/>
  <c r="G443" i="13"/>
  <c r="I280" i="13"/>
  <c r="I337" i="13"/>
  <c r="I493" i="13"/>
  <c r="I493" i="9" s="1"/>
  <c r="J367" i="13"/>
  <c r="G367" i="13" s="1"/>
  <c r="G367" i="9" s="1"/>
  <c r="G267" i="13"/>
  <c r="P329" i="13"/>
  <c r="J57" i="13"/>
  <c r="J399" i="13"/>
  <c r="N333" i="13"/>
  <c r="K323" i="13"/>
  <c r="O492" i="13"/>
  <c r="O492" i="9" s="1"/>
  <c r="K324" i="9"/>
  <c r="G479" i="13"/>
  <c r="G368" i="13"/>
  <c r="G368" i="9" s="1"/>
  <c r="J265" i="13"/>
  <c r="K63" i="13"/>
  <c r="J112" i="13"/>
  <c r="I107" i="13"/>
  <c r="J94" i="13"/>
  <c r="J94" i="9" s="1"/>
  <c r="G358" i="13"/>
  <c r="G95" i="13"/>
  <c r="G95" i="9" s="1"/>
  <c r="G59" i="13"/>
  <c r="G49" i="13"/>
  <c r="J51" i="13"/>
  <c r="I153" i="13"/>
  <c r="O18" i="13"/>
  <c r="J450" i="13"/>
  <c r="P142" i="13"/>
  <c r="I482" i="13"/>
  <c r="H420" i="13"/>
  <c r="H421" i="13" s="1"/>
  <c r="O309" i="13"/>
  <c r="O309" i="9" s="1"/>
  <c r="N195" i="13"/>
  <c r="J35" i="13"/>
  <c r="H475" i="13"/>
  <c r="L492" i="13"/>
  <c r="O101" i="9"/>
  <c r="I277" i="13"/>
  <c r="I538" i="13"/>
  <c r="L449" i="13"/>
  <c r="H416" i="13"/>
  <c r="H428" i="13"/>
  <c r="H429" i="13" s="1"/>
  <c r="J179" i="13"/>
  <c r="I450" i="13"/>
  <c r="J286" i="13"/>
  <c r="G180" i="13"/>
  <c r="J70" i="13"/>
  <c r="J295" i="13"/>
  <c r="G45" i="13"/>
  <c r="M316" i="13"/>
  <c r="Q562" i="13"/>
  <c r="Q562" i="9" s="1"/>
  <c r="K415" i="13"/>
  <c r="M228" i="13"/>
  <c r="J462" i="13"/>
  <c r="G462" i="13" s="1"/>
  <c r="G463" i="13"/>
  <c r="G287" i="13"/>
  <c r="G72" i="13"/>
  <c r="G555" i="13"/>
  <c r="C553" i="13" s="1"/>
  <c r="I526" i="13"/>
  <c r="J255" i="13"/>
  <c r="L34" i="13"/>
  <c r="I34" i="13" s="1"/>
  <c r="G472" i="13"/>
  <c r="Q293" i="13"/>
  <c r="Q292" i="13" s="1"/>
  <c r="G226" i="13"/>
  <c r="J44" i="13"/>
  <c r="G44" i="13" s="1"/>
  <c r="N79" i="13"/>
  <c r="G608" i="13"/>
  <c r="G609" i="13" s="1"/>
  <c r="G36" i="13"/>
  <c r="Q607" i="13"/>
  <c r="I557" i="13"/>
  <c r="K472" i="13"/>
  <c r="G256" i="13"/>
  <c r="I35" i="13"/>
  <c r="Q126" i="13"/>
  <c r="J48" i="13"/>
  <c r="J127" i="13"/>
  <c r="G477" i="13"/>
  <c r="D475" i="13" s="1"/>
  <c r="H277" i="13"/>
  <c r="G128" i="13"/>
  <c r="J357" i="13"/>
  <c r="N83" i="13"/>
  <c r="N82" i="13" s="1"/>
  <c r="Q390" i="13"/>
  <c r="Q591" i="13"/>
  <c r="J475" i="13"/>
  <c r="J475" i="9" s="1"/>
  <c r="I333" i="13"/>
  <c r="G39" i="13"/>
  <c r="N225" i="13"/>
  <c r="M212" i="13"/>
  <c r="I356" i="13"/>
  <c r="O147" i="13"/>
  <c r="M126" i="13"/>
  <c r="M178" i="13"/>
  <c r="H64" i="13"/>
  <c r="H174" i="13"/>
  <c r="G99" i="13"/>
  <c r="G99" i="9" s="1"/>
  <c r="N398" i="13"/>
  <c r="N111" i="13"/>
  <c r="N63" i="13"/>
  <c r="J629" i="13"/>
  <c r="L365" i="9"/>
  <c r="H153" i="13"/>
  <c r="J156" i="13"/>
  <c r="H189" i="13"/>
  <c r="H61" i="13"/>
  <c r="N60" i="13"/>
  <c r="H60" i="13" s="1"/>
  <c r="Q619" i="13"/>
  <c r="I462" i="13"/>
  <c r="I365" i="13"/>
  <c r="I365" i="9" s="1"/>
  <c r="G157" i="13"/>
  <c r="L341" i="13"/>
  <c r="K516" i="13"/>
  <c r="H516" i="13" s="1"/>
  <c r="G145" i="13"/>
  <c r="Q612" i="13"/>
  <c r="Q505" i="13"/>
  <c r="J98" i="13"/>
  <c r="J98" i="9" s="1"/>
  <c r="I183" i="13"/>
  <c r="J144" i="13"/>
  <c r="J564" i="13"/>
  <c r="J564" i="9" s="1"/>
  <c r="G565" i="13"/>
  <c r="G565" i="9" s="1"/>
  <c r="O257" i="13"/>
  <c r="J22" i="13"/>
  <c r="G22" i="13" s="1"/>
  <c r="J68" i="13"/>
  <c r="K457" i="13"/>
  <c r="H457" i="13" s="1"/>
  <c r="M55" i="13"/>
  <c r="G540" i="13"/>
  <c r="C538" i="13" s="1"/>
  <c r="H458" i="13"/>
  <c r="P324" i="9"/>
  <c r="O329" i="13"/>
  <c r="Q46" i="13"/>
  <c r="H517" i="13"/>
  <c r="J538" i="13"/>
  <c r="I202" i="13"/>
  <c r="D17" i="13"/>
  <c r="N436" i="13"/>
  <c r="J458" i="13"/>
  <c r="G459" i="13"/>
  <c r="O177" i="13"/>
  <c r="H209" i="13"/>
  <c r="N547" i="13"/>
  <c r="L317" i="9"/>
  <c r="L316" i="13"/>
  <c r="K476" i="13"/>
  <c r="J476" i="13" s="1"/>
  <c r="Q142" i="13"/>
  <c r="P409" i="9"/>
  <c r="P408" i="13"/>
  <c r="N124" i="9"/>
  <c r="N123" i="13"/>
  <c r="N123" i="9" s="1"/>
  <c r="L63" i="13"/>
  <c r="Q317" i="9"/>
  <c r="Q316" i="13"/>
  <c r="Q316" i="9" s="1"/>
  <c r="G594" i="13"/>
  <c r="G595" i="13" s="1"/>
  <c r="H391" i="13"/>
  <c r="P478" i="13"/>
  <c r="O390" i="13"/>
  <c r="J566" i="9"/>
  <c r="G566" i="13"/>
  <c r="G566" i="9" s="1"/>
  <c r="O626" i="13"/>
  <c r="N283" i="13"/>
  <c r="N345" i="13"/>
  <c r="N274" i="13"/>
  <c r="J394" i="13"/>
  <c r="M341" i="13"/>
  <c r="J616" i="13"/>
  <c r="J616" i="9" s="1"/>
  <c r="L19" i="13"/>
  <c r="M407" i="13"/>
  <c r="P445" i="13"/>
  <c r="N261" i="13"/>
  <c r="J391" i="13"/>
  <c r="J277" i="13"/>
  <c r="I626" i="13"/>
  <c r="E244" i="13"/>
  <c r="I156" i="13"/>
  <c r="G603" i="13"/>
  <c r="P562" i="13"/>
  <c r="P562" i="9" s="1"/>
  <c r="P563" i="9"/>
  <c r="G545" i="13"/>
  <c r="O573" i="13"/>
  <c r="M572" i="13"/>
  <c r="I472" i="13"/>
  <c r="I261" i="13"/>
  <c r="N217" i="13"/>
  <c r="N415" i="13"/>
  <c r="D372" i="13"/>
  <c r="J261" i="13"/>
  <c r="G262" i="13"/>
  <c r="G117" i="13"/>
  <c r="H548" i="13"/>
  <c r="K547" i="13"/>
  <c r="L415" i="13"/>
  <c r="I416" i="13"/>
  <c r="D105" i="13"/>
  <c r="H88" i="13"/>
  <c r="G198" i="13"/>
  <c r="N120" i="13"/>
  <c r="J90" i="13"/>
  <c r="C77" i="13"/>
  <c r="Q55" i="13"/>
  <c r="P500" i="13"/>
  <c r="P501" i="9"/>
  <c r="I349" i="13"/>
  <c r="Q309" i="13"/>
  <c r="Q309" i="9" s="1"/>
  <c r="Q310" i="9"/>
  <c r="M289" i="13"/>
  <c r="G245" i="13"/>
  <c r="J244" i="13"/>
  <c r="J243" i="13" s="1"/>
  <c r="Q82" i="13"/>
  <c r="M333" i="13"/>
  <c r="N236" i="13"/>
  <c r="Q431" i="13"/>
  <c r="G414" i="13"/>
  <c r="P363" i="13"/>
  <c r="P363" i="9" s="1"/>
  <c r="P364" i="9"/>
  <c r="N304" i="13"/>
  <c r="Q177" i="13"/>
  <c r="H254" i="13"/>
  <c r="M18" i="13"/>
  <c r="P55" i="13"/>
  <c r="L147" i="13"/>
  <c r="H261" i="13"/>
  <c r="O562" i="13"/>
  <c r="O562" i="9" s="1"/>
  <c r="O563" i="9"/>
  <c r="I15" i="13"/>
  <c r="N382" i="13"/>
  <c r="G382" i="13" s="1"/>
  <c r="J543" i="13"/>
  <c r="G383" i="13"/>
  <c r="M390" i="13"/>
  <c r="C305" i="13"/>
  <c r="G321" i="9"/>
  <c r="I225" i="13"/>
  <c r="I195" i="13"/>
  <c r="G181" i="13"/>
  <c r="H26" i="13"/>
  <c r="J86" i="13"/>
  <c r="Q18" i="13"/>
  <c r="O106" i="13"/>
  <c r="N493" i="13"/>
  <c r="N497" i="9"/>
  <c r="Q588" i="13"/>
  <c r="P573" i="13"/>
  <c r="M505" i="13"/>
  <c r="P469" i="13"/>
  <c r="H432" i="13"/>
  <c r="I410" i="13"/>
  <c r="P371" i="13"/>
  <c r="I342" i="13"/>
  <c r="G315" i="13"/>
  <c r="G315" i="9" s="1"/>
  <c r="J315" i="9"/>
  <c r="J313" i="13"/>
  <c r="J310" i="13" s="1"/>
  <c r="J310" i="9" s="1"/>
  <c r="H274" i="13"/>
  <c r="G134" i="13"/>
  <c r="G453" i="13"/>
  <c r="H410" i="13"/>
  <c r="M217" i="13"/>
  <c r="D497" i="13"/>
  <c r="G498" i="9"/>
  <c r="N178" i="13"/>
  <c r="N563" i="13"/>
  <c r="N564" i="9"/>
  <c r="N412" i="13"/>
  <c r="H412" i="13"/>
  <c r="N310" i="13"/>
  <c r="N313" i="9"/>
  <c r="N131" i="13"/>
  <c r="Q492" i="13"/>
  <c r="Q492" i="9" s="1"/>
  <c r="Q493" i="9"/>
  <c r="O293" i="13"/>
  <c r="J230" i="13"/>
  <c r="G231" i="13"/>
  <c r="H90" i="13"/>
  <c r="I12" i="13"/>
  <c r="E26" i="13"/>
  <c r="E112" i="13"/>
  <c r="N569" i="9"/>
  <c r="N568" i="13"/>
  <c r="M500" i="9"/>
  <c r="M499" i="13"/>
  <c r="M499" i="9" s="1"/>
  <c r="H333" i="13"/>
  <c r="P310" i="9"/>
  <c r="P309" i="13"/>
  <c r="P309" i="9" s="1"/>
  <c r="L243" i="13"/>
  <c r="L229" i="13"/>
  <c r="L11" i="13"/>
  <c r="I511" i="13"/>
  <c r="P619" i="13"/>
  <c r="M492" i="13"/>
  <c r="M492" i="9" s="1"/>
  <c r="M493" i="9"/>
  <c r="N280" i="13"/>
  <c r="G232" i="13"/>
  <c r="G173" i="13"/>
  <c r="J172" i="13"/>
  <c r="G172" i="13" s="1"/>
  <c r="N93" i="13"/>
  <c r="N98" i="9"/>
  <c r="P46" i="13"/>
  <c r="G81" i="13"/>
  <c r="J80" i="13"/>
  <c r="N19" i="13"/>
  <c r="N50" i="13"/>
  <c r="N47" i="13"/>
  <c r="I436" i="13"/>
  <c r="C573" i="13"/>
  <c r="D420" i="13"/>
  <c r="N379" i="13"/>
  <c r="G379" i="13" s="1"/>
  <c r="N516" i="13"/>
  <c r="D181" i="13"/>
  <c r="H111" i="13"/>
  <c r="I222" i="13"/>
  <c r="H70" i="13"/>
  <c r="I174" i="13"/>
  <c r="G87" i="13"/>
  <c r="I178" i="13"/>
  <c r="N542" i="13"/>
  <c r="G611" i="13"/>
  <c r="L542" i="13"/>
  <c r="I543" i="13"/>
  <c r="N620" i="13"/>
  <c r="N466" i="13"/>
  <c r="O428" i="9"/>
  <c r="O427" i="13"/>
  <c r="M370" i="13"/>
  <c r="M304" i="13"/>
  <c r="G290" i="13"/>
  <c r="N254" i="13"/>
  <c r="P92" i="13"/>
  <c r="P92" i="9" s="1"/>
  <c r="P93" i="9"/>
  <c r="D572" i="13"/>
  <c r="O536" i="13"/>
  <c r="G464" i="13"/>
  <c r="D354" i="13"/>
  <c r="K217" i="13"/>
  <c r="N174" i="13"/>
  <c r="N148" i="13"/>
  <c r="E108" i="13"/>
  <c r="N29" i="13"/>
  <c r="G481" i="13"/>
  <c r="O378" i="13"/>
  <c r="N574" i="13"/>
  <c r="G494" i="13"/>
  <c r="G494" i="9" s="1"/>
  <c r="N289" i="13"/>
  <c r="I258" i="13"/>
  <c r="K229" i="13"/>
  <c r="H112" i="13"/>
  <c r="P66" i="13"/>
  <c r="N251" i="13"/>
  <c r="M142" i="13"/>
  <c r="E117" i="13"/>
  <c r="O92" i="13"/>
  <c r="O92" i="9" s="1"/>
  <c r="O93" i="9"/>
  <c r="K11" i="13"/>
  <c r="Q536" i="13"/>
  <c r="P341" i="13"/>
  <c r="D361" i="13"/>
  <c r="M323" i="13"/>
  <c r="M323" i="9" s="1"/>
  <c r="M324" i="9"/>
  <c r="P293" i="13"/>
  <c r="G73" i="13"/>
  <c r="H537" i="13"/>
  <c r="N11" i="13"/>
  <c r="H22" i="13"/>
  <c r="I466" i="13"/>
  <c r="N442" i="13"/>
  <c r="G442" i="13" s="1"/>
  <c r="G630" i="13"/>
  <c r="I521" i="13"/>
  <c r="G473" i="13"/>
  <c r="I188" i="13"/>
  <c r="H162" i="13"/>
  <c r="G207" i="13"/>
  <c r="K67" i="13"/>
  <c r="H156" i="13"/>
  <c r="O567" i="13"/>
  <c r="O567" i="9" s="1"/>
  <c r="O568" i="9"/>
  <c r="N521" i="13"/>
  <c r="I304" i="13"/>
  <c r="E127" i="13"/>
  <c r="J103" i="9"/>
  <c r="G103" i="13"/>
  <c r="G103" i="9" s="1"/>
  <c r="J102" i="13"/>
  <c r="O66" i="13"/>
  <c r="O55" i="13"/>
  <c r="M563" i="9"/>
  <c r="M562" i="13"/>
  <c r="M562" i="9" s="1"/>
  <c r="I488" i="13"/>
  <c r="G387" i="13"/>
  <c r="M195" i="13"/>
  <c r="J522" i="13"/>
  <c r="G401" i="13"/>
  <c r="H337" i="13"/>
  <c r="J97" i="9"/>
  <c r="G97" i="13"/>
  <c r="G97" i="9" s="1"/>
  <c r="J96" i="13"/>
  <c r="N511" i="13"/>
  <c r="N364" i="13"/>
  <c r="N365" i="9"/>
  <c r="N269" i="13"/>
  <c r="J200" i="13"/>
  <c r="G201" i="13"/>
  <c r="N243" i="13"/>
  <c r="P82" i="13"/>
  <c r="G510" i="13"/>
  <c r="E494" i="13"/>
  <c r="G496" i="9"/>
  <c r="H450" i="13"/>
  <c r="I385" i="13"/>
  <c r="I251" i="13"/>
  <c r="D241" i="13"/>
  <c r="G273" i="13"/>
  <c r="N449" i="13"/>
  <c r="G114" i="13"/>
  <c r="Q92" i="13"/>
  <c r="Q92" i="9" s="1"/>
  <c r="Q93" i="9"/>
  <c r="J61" i="13"/>
  <c r="L79" i="13"/>
  <c r="I80" i="13"/>
  <c r="G10" i="13"/>
  <c r="G24" i="13"/>
  <c r="E450" i="13"/>
  <c r="I254" i="13"/>
  <c r="I516" i="13"/>
  <c r="G405" i="13"/>
  <c r="Q341" i="13"/>
  <c r="H13" i="13"/>
  <c r="I212" i="13"/>
  <c r="I209" i="13"/>
  <c r="I98" i="13"/>
  <c r="I98" i="9" s="1"/>
  <c r="L98" i="9"/>
  <c r="I13" i="13"/>
  <c r="Q604" i="13"/>
  <c r="G605" i="13"/>
  <c r="I552" i="13"/>
  <c r="L616" i="9"/>
  <c r="L615" i="13"/>
  <c r="L615" i="9" s="1"/>
  <c r="Q583" i="13"/>
  <c r="G586" i="13"/>
  <c r="I623" i="13"/>
  <c r="G460" i="13"/>
  <c r="N424" i="13"/>
  <c r="O363" i="13"/>
  <c r="O363" i="9" s="1"/>
  <c r="O364" i="9"/>
  <c r="N330" i="13"/>
  <c r="G125" i="13"/>
  <c r="G125" i="9" s="1"/>
  <c r="J125" i="9"/>
  <c r="N526" i="13"/>
  <c r="G461" i="13"/>
  <c r="H425" i="13"/>
  <c r="I381" i="13"/>
  <c r="H342" i="13"/>
  <c r="H304" i="13"/>
  <c r="O126" i="13"/>
  <c r="H382" i="13"/>
  <c r="H283" i="13"/>
  <c r="G208" i="13"/>
  <c r="H44" i="13"/>
  <c r="P257" i="13"/>
  <c r="Q501" i="9"/>
  <c r="Q500" i="13"/>
  <c r="D433" i="13"/>
  <c r="G152" i="13"/>
  <c r="Q100" i="13"/>
  <c r="Q100" i="9" s="1"/>
  <c r="Q101" i="9"/>
  <c r="N557" i="13"/>
  <c r="K15" i="13"/>
  <c r="J345" i="13"/>
  <c r="G346" i="13"/>
  <c r="K96" i="9"/>
  <c r="H96" i="13"/>
  <c r="H96" i="9" s="1"/>
  <c r="M66" i="13"/>
  <c r="M431" i="13"/>
  <c r="G303" i="13"/>
  <c r="N212" i="13"/>
  <c r="G402" i="13"/>
  <c r="O46" i="13"/>
  <c r="O82" i="13"/>
  <c r="H32" i="13"/>
  <c r="N615" i="13"/>
  <c r="N616" i="9"/>
  <c r="I289" i="13"/>
  <c r="G624" i="13"/>
  <c r="G191" i="13"/>
  <c r="J13" i="13"/>
  <c r="P505" i="13"/>
  <c r="O615" i="13"/>
  <c r="O616" i="9"/>
  <c r="J623" i="13"/>
  <c r="I425" i="13"/>
  <c r="E346" i="13"/>
  <c r="N202" i="13"/>
  <c r="I139" i="13"/>
  <c r="K124" i="9"/>
  <c r="H124" i="13"/>
  <c r="H124" i="9" s="1"/>
  <c r="K123" i="13"/>
  <c r="N476" i="13"/>
  <c r="Q257" i="13"/>
  <c r="P228" i="13"/>
  <c r="H168" i="13"/>
  <c r="P378" i="13"/>
  <c r="I379" i="13"/>
  <c r="G359" i="13"/>
  <c r="N229" i="13"/>
  <c r="N188" i="13"/>
  <c r="G38" i="13"/>
  <c r="J37" i="13"/>
  <c r="M536" i="13"/>
  <c r="N506" i="13"/>
  <c r="I442" i="13"/>
  <c r="E385" i="13"/>
  <c r="N372" i="13"/>
  <c r="G372" i="13" s="1"/>
  <c r="J225" i="13"/>
  <c r="H207" i="13"/>
  <c r="G115" i="13"/>
  <c r="M82" i="13"/>
  <c r="J432" i="13"/>
  <c r="I423" i="13"/>
  <c r="M258" i="13"/>
  <c r="O228" i="13"/>
  <c r="P493" i="9"/>
  <c r="P492" i="13"/>
  <c r="P492" i="9" s="1"/>
  <c r="N440" i="13"/>
  <c r="N356" i="13"/>
  <c r="I345" i="13"/>
  <c r="N264" i="13"/>
  <c r="G133" i="13"/>
  <c r="J107" i="13"/>
  <c r="G108" i="13"/>
  <c r="N552" i="13"/>
  <c r="N376" i="13"/>
  <c r="D292" i="13"/>
  <c r="J252" i="13"/>
  <c r="H225" i="13"/>
  <c r="J162" i="13"/>
  <c r="L124" i="9"/>
  <c r="I124" i="13"/>
  <c r="I124" i="9" s="1"/>
  <c r="L123" i="13"/>
  <c r="P106" i="13"/>
  <c r="J26" i="13"/>
  <c r="G27" i="13"/>
  <c r="C350" i="13"/>
  <c r="I41" i="13"/>
  <c r="I283" i="13"/>
  <c r="G487" i="13"/>
  <c r="E575" i="13"/>
  <c r="H445" i="13"/>
  <c r="H280" i="13"/>
  <c r="I171" i="13"/>
  <c r="I162" i="13"/>
  <c r="G249" i="13"/>
  <c r="H12" i="13"/>
  <c r="I274" i="13"/>
  <c r="Q147" i="13"/>
  <c r="I629" i="13"/>
  <c r="L537" i="13"/>
  <c r="P536" i="13"/>
  <c r="I484" i="13"/>
  <c r="D446" i="13"/>
  <c r="O420" i="9"/>
  <c r="O419" i="13"/>
  <c r="G298" i="13"/>
  <c r="Q228" i="13"/>
  <c r="H165" i="13"/>
  <c r="L102" i="9"/>
  <c r="L101" i="13"/>
  <c r="I102" i="13"/>
  <c r="I102" i="9" s="1"/>
  <c r="N67" i="13"/>
  <c r="I470" i="13"/>
  <c r="G272" i="13"/>
  <c r="H102" i="13"/>
  <c r="H102" i="9" s="1"/>
  <c r="K102" i="9"/>
  <c r="M568" i="9"/>
  <c r="M567" i="13"/>
  <c r="M567" i="9" s="1"/>
  <c r="J318" i="9"/>
  <c r="G297" i="13"/>
  <c r="K264" i="13"/>
  <c r="H265" i="13"/>
  <c r="L111" i="13"/>
  <c r="I112" i="13"/>
  <c r="I94" i="13"/>
  <c r="I94" i="9" s="1"/>
  <c r="L94" i="9"/>
  <c r="Q106" i="13"/>
  <c r="N457" i="13"/>
  <c r="I168" i="13"/>
  <c r="O142" i="13"/>
  <c r="Q78" i="13"/>
  <c r="O375" i="13"/>
  <c r="H313" i="13"/>
  <c r="H313" i="9" s="1"/>
  <c r="K313" i="9"/>
  <c r="K310" i="13"/>
  <c r="N294" i="13"/>
  <c r="G247" i="13"/>
  <c r="D234" i="13"/>
  <c r="G220" i="13"/>
  <c r="I132" i="13"/>
  <c r="M92" i="13"/>
  <c r="M92" i="9" s="1"/>
  <c r="M93" i="9"/>
  <c r="D423" i="13"/>
  <c r="G360" i="13"/>
  <c r="I531" i="13"/>
  <c r="Q407" i="13"/>
  <c r="H286" i="13"/>
  <c r="G192" i="13"/>
  <c r="N143" i="13"/>
  <c r="G122" i="13"/>
  <c r="P18" i="13"/>
  <c r="O78" i="13"/>
  <c r="E504" i="13"/>
  <c r="C522" i="13"/>
  <c r="H381" i="13"/>
  <c r="G485" i="13"/>
  <c r="G354" i="13"/>
  <c r="N623" i="13"/>
  <c r="O341" i="13"/>
  <c r="H159" i="13"/>
  <c r="D249" i="13"/>
  <c r="C203" i="13"/>
  <c r="H193" i="13"/>
  <c r="I165" i="13"/>
  <c r="H41" i="13"/>
  <c r="Q568" i="9"/>
  <c r="Q567" i="13"/>
  <c r="Q567" i="9" s="1"/>
  <c r="M619" i="13"/>
  <c r="H295" i="13"/>
  <c r="K294" i="13"/>
  <c r="G186" i="13"/>
  <c r="N139" i="13"/>
  <c r="G550" i="13"/>
  <c r="N537" i="13"/>
  <c r="O505" i="13"/>
  <c r="H222" i="13"/>
  <c r="G530" i="13"/>
  <c r="G417" i="13"/>
  <c r="J416" i="13"/>
  <c r="N384" i="13"/>
  <c r="J64" i="13"/>
  <c r="O439" i="13"/>
  <c r="O9" i="13" s="1"/>
  <c r="D428" i="13"/>
  <c r="K139" i="13"/>
  <c r="H140" i="13"/>
  <c r="H37" i="13"/>
  <c r="D504" i="13"/>
  <c r="O483" i="9"/>
  <c r="H483" i="13"/>
  <c r="O482" i="13"/>
  <c r="N483" i="13"/>
  <c r="G454" i="13"/>
  <c r="G234" i="13"/>
  <c r="H200" i="13"/>
  <c r="P77" i="13"/>
  <c r="K557" i="13"/>
  <c r="H558" i="13"/>
  <c r="Q370" i="13"/>
  <c r="H121" i="13"/>
  <c r="K120" i="13"/>
  <c r="M106" i="13"/>
  <c r="H80" i="13"/>
  <c r="N41" i="13"/>
  <c r="N34" i="13"/>
  <c r="H384" i="13"/>
  <c r="G392" i="13"/>
  <c r="P390" i="13"/>
  <c r="I394" i="13"/>
  <c r="N394" i="13"/>
  <c r="I476" i="13"/>
  <c r="J371" i="13"/>
  <c r="G343" i="13"/>
  <c r="J342" i="13"/>
  <c r="O489" i="13"/>
  <c r="N490" i="13"/>
  <c r="H490" i="13"/>
  <c r="G334" i="13"/>
  <c r="J333" i="13"/>
  <c r="I131" i="13"/>
  <c r="L126" i="13"/>
  <c r="N629" i="13"/>
  <c r="G520" i="13"/>
  <c r="J517" i="13"/>
  <c r="J478" i="13"/>
  <c r="J445" i="13"/>
  <c r="G275" i="13"/>
  <c r="J274" i="13"/>
  <c r="G527" i="13"/>
  <c r="J526" i="13"/>
  <c r="L329" i="13"/>
  <c r="I330" i="13"/>
  <c r="J378" i="13"/>
  <c r="G571" i="13"/>
  <c r="J569" i="13"/>
  <c r="J569" i="9" s="1"/>
  <c r="G404" i="13"/>
  <c r="J403" i="13"/>
  <c r="I264" i="13"/>
  <c r="G318" i="13"/>
  <c r="G318" i="9" s="1"/>
  <c r="G124" i="13"/>
  <c r="G124" i="9" s="1"/>
  <c r="J123" i="13"/>
  <c r="G197" i="13"/>
  <c r="J196" i="13"/>
  <c r="I75" i="13"/>
  <c r="L74" i="13"/>
  <c r="H149" i="13"/>
  <c r="K148" i="13"/>
  <c r="G184" i="13"/>
  <c r="J183" i="13"/>
  <c r="G151" i="13"/>
  <c r="J149" i="13"/>
  <c r="H394" i="13"/>
  <c r="J280" i="13"/>
  <c r="G281" i="13"/>
  <c r="L236" i="13"/>
  <c r="I237" i="13"/>
  <c r="G84" i="13"/>
  <c r="G160" i="13"/>
  <c r="J159" i="13"/>
  <c r="N162" i="13"/>
  <c r="G163" i="13"/>
  <c r="H57" i="13"/>
  <c r="K56" i="13"/>
  <c r="L499" i="13"/>
  <c r="H507" i="13"/>
  <c r="K506" i="13"/>
  <c r="I458" i="13"/>
  <c r="L457" i="13"/>
  <c r="H629" i="13"/>
  <c r="N471" i="13"/>
  <c r="O470" i="13"/>
  <c r="H471" i="13"/>
  <c r="L323" i="13"/>
  <c r="I324" i="13"/>
  <c r="G380" i="13"/>
  <c r="H403" i="13"/>
  <c r="K398" i="13"/>
  <c r="H371" i="13"/>
  <c r="K370" i="13"/>
  <c r="H436" i="13"/>
  <c r="G166" i="13"/>
  <c r="J165" i="13"/>
  <c r="G121" i="13"/>
  <c r="J120" i="13"/>
  <c r="G240" i="13"/>
  <c r="J237" i="13"/>
  <c r="H196" i="13"/>
  <c r="K195" i="13"/>
  <c r="I29" i="13"/>
  <c r="H15" i="13"/>
  <c r="H20" i="13"/>
  <c r="K19" i="13"/>
  <c r="J12" i="13"/>
  <c r="H574" i="13"/>
  <c r="K573" i="13"/>
  <c r="H569" i="13"/>
  <c r="H569" i="9" s="1"/>
  <c r="K568" i="13"/>
  <c r="K568" i="9" s="1"/>
  <c r="G175" i="13"/>
  <c r="J174" i="13"/>
  <c r="K202" i="13"/>
  <c r="H203" i="13"/>
  <c r="J626" i="13"/>
  <c r="K619" i="13"/>
  <c r="H542" i="13"/>
  <c r="H467" i="13"/>
  <c r="K466" i="13"/>
  <c r="G535" i="13"/>
  <c r="J532" i="13"/>
  <c r="G548" i="13"/>
  <c r="J547" i="13"/>
  <c r="I574" i="13"/>
  <c r="L573" i="13"/>
  <c r="P432" i="13"/>
  <c r="I433" i="13"/>
  <c r="I399" i="13"/>
  <c r="L398" i="13"/>
  <c r="L390" i="13" s="1"/>
  <c r="G444" i="13"/>
  <c r="G284" i="13"/>
  <c r="J283" i="13"/>
  <c r="G311" i="13"/>
  <c r="G311" i="9" s="1"/>
  <c r="L177" i="13"/>
  <c r="H237" i="13"/>
  <c r="K236" i="13"/>
  <c r="I300" i="13"/>
  <c r="L299" i="13"/>
  <c r="G76" i="13"/>
  <c r="J75" i="13"/>
  <c r="H527" i="13"/>
  <c r="K526" i="13"/>
  <c r="G515" i="13"/>
  <c r="J512" i="13"/>
  <c r="H181" i="13"/>
  <c r="K178" i="13"/>
  <c r="G194" i="13"/>
  <c r="J193" i="13"/>
  <c r="J15" i="13"/>
  <c r="I51" i="13"/>
  <c r="L50" i="13"/>
  <c r="O619" i="13"/>
  <c r="G385" i="13"/>
  <c r="J384" i="13"/>
  <c r="I391" i="13"/>
  <c r="N433" i="13"/>
  <c r="G434" i="13"/>
  <c r="I375" i="13"/>
  <c r="G223" i="13"/>
  <c r="J222" i="13"/>
  <c r="K316" i="13"/>
  <c r="H317" i="13"/>
  <c r="H213" i="13"/>
  <c r="K212" i="13"/>
  <c r="I57" i="13"/>
  <c r="L56" i="13"/>
  <c r="H75" i="13"/>
  <c r="K74" i="13"/>
  <c r="J439" i="13"/>
  <c r="G331" i="13"/>
  <c r="J330" i="13"/>
  <c r="K511" i="13"/>
  <c r="H512" i="13"/>
  <c r="H365" i="13"/>
  <c r="H365" i="9" s="1"/>
  <c r="K364" i="13"/>
  <c r="K364" i="9" s="1"/>
  <c r="J574" i="13"/>
  <c r="G507" i="13"/>
  <c r="J506" i="13"/>
  <c r="G467" i="13"/>
  <c r="J466" i="13"/>
  <c r="H357" i="13"/>
  <c r="K356" i="13"/>
  <c r="M277" i="13"/>
  <c r="G278" i="13"/>
  <c r="H137" i="13"/>
  <c r="K136" i="13"/>
  <c r="J304" i="13"/>
  <c r="G305" i="13"/>
  <c r="H258" i="13"/>
  <c r="H30" i="13"/>
  <c r="K29" i="13"/>
  <c r="G140" i="13"/>
  <c r="J139" i="13"/>
  <c r="J300" i="13"/>
  <c r="G302" i="13"/>
  <c r="I620" i="13"/>
  <c r="L619" i="13"/>
  <c r="K531" i="13"/>
  <c r="H532" i="13"/>
  <c r="L505" i="13"/>
  <c r="H522" i="13"/>
  <c r="K521" i="13"/>
  <c r="K563" i="13"/>
  <c r="H564" i="13"/>
  <c r="H564" i="9" s="1"/>
  <c r="J381" i="13"/>
  <c r="G325" i="13"/>
  <c r="G325" i="9" s="1"/>
  <c r="J324" i="13"/>
  <c r="J324" i="9" s="1"/>
  <c r="G210" i="13"/>
  <c r="J209" i="13"/>
  <c r="J189" i="13"/>
  <c r="P177" i="13"/>
  <c r="L93" i="13"/>
  <c r="L93" i="9" s="1"/>
  <c r="P147" i="13"/>
  <c r="P615" i="13"/>
  <c r="P615" i="9" s="1"/>
  <c r="I616" i="13"/>
  <c r="I616" i="9" s="1"/>
  <c r="H474" i="13" l="1"/>
  <c r="I364" i="13"/>
  <c r="I364" i="9" s="1"/>
  <c r="P418" i="13"/>
  <c r="L370" i="13"/>
  <c r="K78" i="13"/>
  <c r="K77" i="13" s="1"/>
  <c r="L363" i="13"/>
  <c r="J620" i="13"/>
  <c r="J619" i="13" s="1"/>
  <c r="K100" i="13"/>
  <c r="H620" i="13"/>
  <c r="Q616" i="9"/>
  <c r="H626" i="13"/>
  <c r="K563" i="9"/>
  <c r="I563" i="13"/>
  <c r="I563" i="9" s="1"/>
  <c r="L567" i="13"/>
  <c r="H101" i="13"/>
  <c r="H101" i="9" s="1"/>
  <c r="G607" i="13"/>
  <c r="M309" i="13"/>
  <c r="I568" i="13"/>
  <c r="I568" i="9" s="1"/>
  <c r="K92" i="13"/>
  <c r="G618" i="13"/>
  <c r="G14" i="13" s="1"/>
  <c r="H93" i="13"/>
  <c r="H92" i="13" s="1"/>
  <c r="H92" i="9" s="1"/>
  <c r="H143" i="13"/>
  <c r="H349" i="13"/>
  <c r="K505" i="13"/>
  <c r="G616" i="13"/>
  <c r="G615" i="13" s="1"/>
  <c r="G615" i="9" s="1"/>
  <c r="M363" i="13"/>
  <c r="E591" i="13"/>
  <c r="J542" i="13"/>
  <c r="G542" i="13" s="1"/>
  <c r="L82" i="13"/>
  <c r="I83" i="13"/>
  <c r="I82" i="13" s="1"/>
  <c r="G132" i="13"/>
  <c r="G88" i="13"/>
  <c r="C317" i="13"/>
  <c r="H289" i="13"/>
  <c r="J178" i="13"/>
  <c r="K257" i="13"/>
  <c r="H257" i="13" s="1"/>
  <c r="H34" i="13"/>
  <c r="I47" i="13"/>
  <c r="N419" i="13"/>
  <c r="J367" i="9"/>
  <c r="G51" i="13"/>
  <c r="C51" i="13"/>
  <c r="C50" i="13" s="1"/>
  <c r="J34" i="13"/>
  <c r="G34" i="13" s="1"/>
  <c r="G35" i="13"/>
  <c r="Q615" i="13"/>
  <c r="Q615" i="9" s="1"/>
  <c r="L257" i="13"/>
  <c r="I257" i="13" s="1"/>
  <c r="I269" i="13"/>
  <c r="I439" i="13"/>
  <c r="G575" i="13"/>
  <c r="P9" i="13"/>
  <c r="G420" i="13"/>
  <c r="G421" i="13" s="1"/>
  <c r="D394" i="13"/>
  <c r="N323" i="13"/>
  <c r="N323" i="9" s="1"/>
  <c r="J449" i="13"/>
  <c r="G153" i="13"/>
  <c r="G497" i="13"/>
  <c r="G497" i="9" s="1"/>
  <c r="G365" i="13"/>
  <c r="G365" i="9" s="1"/>
  <c r="I67" i="13"/>
  <c r="G446" i="13"/>
  <c r="H50" i="13"/>
  <c r="J364" i="13"/>
  <c r="J364" i="9" s="1"/>
  <c r="G450" i="13"/>
  <c r="J493" i="13"/>
  <c r="J493" i="9" s="1"/>
  <c r="N445" i="13"/>
  <c r="K341" i="13"/>
  <c r="J131" i="13"/>
  <c r="L66" i="13"/>
  <c r="G127" i="13"/>
  <c r="I427" i="13"/>
  <c r="G30" i="13"/>
  <c r="G42" i="13"/>
  <c r="J499" i="13"/>
  <c r="J499" i="9" s="1"/>
  <c r="K492" i="13"/>
  <c r="H493" i="13"/>
  <c r="H493" i="9" s="1"/>
  <c r="I309" i="13"/>
  <c r="I309" i="9" s="1"/>
  <c r="N427" i="13"/>
  <c r="G427" i="13" s="1"/>
  <c r="C213" i="13"/>
  <c r="C212" i="13" s="1"/>
  <c r="G428" i="13"/>
  <c r="G558" i="13"/>
  <c r="H472" i="13"/>
  <c r="L309" i="9"/>
  <c r="E57" i="13"/>
  <c r="J202" i="13"/>
  <c r="G202" i="13" s="1"/>
  <c r="J217" i="13"/>
  <c r="G399" i="13"/>
  <c r="H408" i="13"/>
  <c r="J552" i="13"/>
  <c r="G552" i="13" s="1"/>
  <c r="G627" i="13"/>
  <c r="O407" i="13"/>
  <c r="G286" i="13"/>
  <c r="J50" i="13"/>
  <c r="G50" i="13" s="1"/>
  <c r="N500" i="13"/>
  <c r="H500" i="13" s="1"/>
  <c r="H500" i="9" s="1"/>
  <c r="G203" i="13"/>
  <c r="H128" i="13"/>
  <c r="H501" i="13"/>
  <c r="H501" i="9" s="1"/>
  <c r="J474" i="13"/>
  <c r="G501" i="13"/>
  <c r="G501" i="9" s="1"/>
  <c r="G564" i="13"/>
  <c r="G564" i="9" s="1"/>
  <c r="J212" i="13"/>
  <c r="G212" i="13" s="1"/>
  <c r="G213" i="13"/>
  <c r="G553" i="13"/>
  <c r="M316" i="9"/>
  <c r="J56" i="13"/>
  <c r="J143" i="13"/>
  <c r="J29" i="13"/>
  <c r="G29" i="13" s="1"/>
  <c r="J111" i="13"/>
  <c r="J106" i="13" s="1"/>
  <c r="G112" i="13"/>
  <c r="G137" i="13"/>
  <c r="N78" i="13"/>
  <c r="N77" i="13" s="1"/>
  <c r="J269" i="13"/>
  <c r="G270" i="13"/>
  <c r="K48" i="13"/>
  <c r="C265" i="13"/>
  <c r="C264" i="13" s="1"/>
  <c r="G409" i="13"/>
  <c r="J557" i="13"/>
  <c r="G557" i="13" s="1"/>
  <c r="K407" i="13"/>
  <c r="J563" i="13"/>
  <c r="J563" i="9" s="1"/>
  <c r="G57" i="13"/>
  <c r="G218" i="13"/>
  <c r="L431" i="13"/>
  <c r="G168" i="13"/>
  <c r="G337" i="13"/>
  <c r="I120" i="13"/>
  <c r="I500" i="13"/>
  <c r="I500" i="9" s="1"/>
  <c r="G475" i="13"/>
  <c r="J349" i="13"/>
  <c r="G349" i="13" s="1"/>
  <c r="O500" i="9"/>
  <c r="G70" i="13"/>
  <c r="H324" i="9"/>
  <c r="G436" i="13"/>
  <c r="G259" i="13"/>
  <c r="G144" i="13"/>
  <c r="G94" i="13"/>
  <c r="G94" i="9" s="1"/>
  <c r="J136" i="13"/>
  <c r="G136" i="13" s="1"/>
  <c r="I449" i="13"/>
  <c r="J93" i="13"/>
  <c r="J93" i="9" s="1"/>
  <c r="I142" i="13"/>
  <c r="H415" i="13"/>
  <c r="G48" i="13"/>
  <c r="G98" i="13"/>
  <c r="G98" i="9" s="1"/>
  <c r="J264" i="13"/>
  <c r="G265" i="13"/>
  <c r="J258" i="13"/>
  <c r="G350" i="13"/>
  <c r="J254" i="13"/>
  <c r="G254" i="13" s="1"/>
  <c r="J47" i="13"/>
  <c r="G255" i="13"/>
  <c r="I316" i="13"/>
  <c r="I316" i="9" s="1"/>
  <c r="J19" i="13"/>
  <c r="H299" i="13"/>
  <c r="Q7" i="13"/>
  <c r="G68" i="13"/>
  <c r="J615" i="13"/>
  <c r="J615" i="9" s="1"/>
  <c r="K536" i="13"/>
  <c r="C313" i="13"/>
  <c r="C310" i="13" s="1"/>
  <c r="G391" i="13"/>
  <c r="O146" i="13"/>
  <c r="I478" i="13"/>
  <c r="G591" i="13"/>
  <c r="L492" i="9"/>
  <c r="N408" i="13"/>
  <c r="N410" i="13"/>
  <c r="G295" i="13"/>
  <c r="J294" i="13"/>
  <c r="N100" i="13"/>
  <c r="N100" i="9" s="1"/>
  <c r="J67" i="13"/>
  <c r="I469" i="13"/>
  <c r="Q328" i="13"/>
  <c r="Q327" i="13" s="1"/>
  <c r="L563" i="9"/>
  <c r="L562" i="13"/>
  <c r="G179" i="13"/>
  <c r="K323" i="9"/>
  <c r="G458" i="13"/>
  <c r="G440" i="13"/>
  <c r="K127" i="13"/>
  <c r="J356" i="13"/>
  <c r="G356" i="13" s="1"/>
  <c r="G357" i="13"/>
  <c r="J41" i="13"/>
  <c r="G156" i="13"/>
  <c r="H83" i="13"/>
  <c r="K431" i="13"/>
  <c r="K82" i="13"/>
  <c r="I418" i="13"/>
  <c r="J457" i="13"/>
  <c r="Q504" i="13"/>
  <c r="M293" i="13"/>
  <c r="J83" i="13"/>
  <c r="D16" i="13"/>
  <c r="H67" i="13"/>
  <c r="G588" i="13"/>
  <c r="G543" i="13"/>
  <c r="N106" i="13"/>
  <c r="Q574" i="13"/>
  <c r="Q573" i="13" s="1"/>
  <c r="Q9" i="13"/>
  <c r="C564" i="13"/>
  <c r="C564" i="9" s="1"/>
  <c r="G629" i="13"/>
  <c r="H63" i="13"/>
  <c r="G612" i="13"/>
  <c r="J537" i="13"/>
  <c r="I445" i="13"/>
  <c r="P328" i="13"/>
  <c r="G538" i="13"/>
  <c r="G90" i="13"/>
  <c r="N55" i="13"/>
  <c r="M9" i="13"/>
  <c r="N341" i="13"/>
  <c r="I19" i="13"/>
  <c r="M177" i="13"/>
  <c r="L18" i="13"/>
  <c r="H329" i="13"/>
  <c r="O499" i="9"/>
  <c r="H11" i="13"/>
  <c r="G12" i="13"/>
  <c r="L316" i="9"/>
  <c r="N626" i="13"/>
  <c r="P407" i="13"/>
  <c r="I408" i="13"/>
  <c r="I63" i="13"/>
  <c r="H476" i="13"/>
  <c r="I390" i="13"/>
  <c r="H136" i="13"/>
  <c r="G139" i="13"/>
  <c r="I50" i="13"/>
  <c r="I177" i="13"/>
  <c r="D442" i="13"/>
  <c r="K7" i="13"/>
  <c r="H195" i="13"/>
  <c r="L323" i="9"/>
  <c r="I74" i="13"/>
  <c r="H120" i="13"/>
  <c r="D427" i="13"/>
  <c r="C548" i="13"/>
  <c r="D229" i="13"/>
  <c r="O370" i="13"/>
  <c r="J317" i="9"/>
  <c r="J316" i="13"/>
  <c r="J316" i="9" s="1"/>
  <c r="I123" i="13"/>
  <c r="I123" i="9" s="1"/>
  <c r="L123" i="9"/>
  <c r="P370" i="13"/>
  <c r="I378" i="13"/>
  <c r="C189" i="13"/>
  <c r="G345" i="13"/>
  <c r="N423" i="13"/>
  <c r="G424" i="13"/>
  <c r="G13" i="13"/>
  <c r="C527" i="13"/>
  <c r="E449" i="13"/>
  <c r="I79" i="13"/>
  <c r="L78" i="13"/>
  <c r="C537" i="13"/>
  <c r="J11" i="13"/>
  <c r="H378" i="13"/>
  <c r="H217" i="13"/>
  <c r="I243" i="13"/>
  <c r="N126" i="13"/>
  <c r="C450" i="13"/>
  <c r="I371" i="13"/>
  <c r="C318" i="9"/>
  <c r="G289" i="13"/>
  <c r="H521" i="13"/>
  <c r="H74" i="13"/>
  <c r="H212" i="13"/>
  <c r="L7" i="13"/>
  <c r="C300" i="13"/>
  <c r="H29" i="13"/>
  <c r="L499" i="9"/>
  <c r="I619" i="13"/>
  <c r="G304" i="13"/>
  <c r="G330" i="13"/>
  <c r="H316" i="13"/>
  <c r="H316" i="9" s="1"/>
  <c r="H317" i="9"/>
  <c r="O7" i="13"/>
  <c r="G15" i="13"/>
  <c r="G280" i="13"/>
  <c r="C149" i="13"/>
  <c r="C569" i="13"/>
  <c r="G571" i="9"/>
  <c r="G274" i="13"/>
  <c r="G476" i="13"/>
  <c r="H294" i="13"/>
  <c r="K293" i="13"/>
  <c r="D243" i="13"/>
  <c r="O328" i="13"/>
  <c r="E503" i="13"/>
  <c r="P17" i="13"/>
  <c r="C270" i="13"/>
  <c r="D445" i="13"/>
  <c r="K123" i="9"/>
  <c r="H123" i="13"/>
  <c r="H123" i="9" s="1"/>
  <c r="E345" i="13"/>
  <c r="O615" i="9"/>
  <c r="H615" i="13"/>
  <c r="H615" i="9" s="1"/>
  <c r="D207" i="13"/>
  <c r="C458" i="13"/>
  <c r="G583" i="13"/>
  <c r="I11" i="13"/>
  <c r="C22" i="13"/>
  <c r="G522" i="13"/>
  <c r="J521" i="13"/>
  <c r="C70" i="13"/>
  <c r="N378" i="13"/>
  <c r="C572" i="13"/>
  <c r="N92" i="13"/>
  <c r="N92" i="9" s="1"/>
  <c r="N93" i="9"/>
  <c r="G230" i="13"/>
  <c r="J229" i="13"/>
  <c r="N177" i="13"/>
  <c r="G86" i="13"/>
  <c r="P105" i="13"/>
  <c r="H547" i="13"/>
  <c r="N484" i="13"/>
  <c r="N482" i="13"/>
  <c r="G483" i="13"/>
  <c r="O431" i="13"/>
  <c r="C244" i="13"/>
  <c r="L106" i="13"/>
  <c r="I111" i="13"/>
  <c r="Q146" i="13"/>
  <c r="C349" i="13"/>
  <c r="N375" i="13"/>
  <c r="G376" i="13"/>
  <c r="G225" i="13"/>
  <c r="N505" i="13"/>
  <c r="D432" i="13"/>
  <c r="G61" i="13"/>
  <c r="J60" i="13"/>
  <c r="E126" i="13"/>
  <c r="N18" i="13"/>
  <c r="J171" i="13"/>
  <c r="E111" i="13"/>
  <c r="N309" i="13"/>
  <c r="N309" i="9" s="1"/>
  <c r="N310" i="9"/>
  <c r="C304" i="13"/>
  <c r="I341" i="13"/>
  <c r="N381" i="13"/>
  <c r="P499" i="13"/>
  <c r="P500" i="9"/>
  <c r="D371" i="13"/>
  <c r="H375" i="13"/>
  <c r="E243" i="13"/>
  <c r="H466" i="13"/>
  <c r="P146" i="13"/>
  <c r="G222" i="13"/>
  <c r="G283" i="13"/>
  <c r="I398" i="13"/>
  <c r="K66" i="13"/>
  <c r="C237" i="13"/>
  <c r="I457" i="13"/>
  <c r="H482" i="13"/>
  <c r="O478" i="13"/>
  <c r="H139" i="13"/>
  <c r="J63" i="13"/>
  <c r="G64" i="13"/>
  <c r="G416" i="13"/>
  <c r="J415" i="13"/>
  <c r="C552" i="13"/>
  <c r="N293" i="13"/>
  <c r="Q77" i="13"/>
  <c r="H499" i="13"/>
  <c r="H499" i="9" s="1"/>
  <c r="P504" i="13"/>
  <c r="Q499" i="13"/>
  <c r="Q499" i="9" s="1"/>
  <c r="Q500" i="9"/>
  <c r="D356" i="13"/>
  <c r="E107" i="13"/>
  <c r="D349" i="13"/>
  <c r="D178" i="13"/>
  <c r="D419" i="13"/>
  <c r="G80" i="13"/>
  <c r="J79" i="13"/>
  <c r="H413" i="13"/>
  <c r="D497" i="9"/>
  <c r="D493" i="13"/>
  <c r="J313" i="9"/>
  <c r="G313" i="13"/>
  <c r="G313" i="9" s="1"/>
  <c r="M17" i="13"/>
  <c r="M329" i="13"/>
  <c r="H356" i="13"/>
  <c r="G193" i="13"/>
  <c r="H511" i="13"/>
  <c r="D193" i="13"/>
  <c r="C512" i="13"/>
  <c r="G547" i="13"/>
  <c r="G120" i="13"/>
  <c r="H398" i="13"/>
  <c r="G183" i="13"/>
  <c r="G123" i="13"/>
  <c r="G123" i="9" s="1"/>
  <c r="J123" i="9"/>
  <c r="C517" i="13"/>
  <c r="H484" i="13"/>
  <c r="O504" i="13"/>
  <c r="C184" i="13"/>
  <c r="H264" i="13"/>
  <c r="N66" i="13"/>
  <c r="G26" i="13"/>
  <c r="N228" i="13"/>
  <c r="N615" i="9"/>
  <c r="H142" i="13"/>
  <c r="N363" i="13"/>
  <c r="N363" i="9" s="1"/>
  <c r="N364" i="9"/>
  <c r="D471" i="13"/>
  <c r="N439" i="13"/>
  <c r="I542" i="13"/>
  <c r="E19" i="13"/>
  <c r="O292" i="13"/>
  <c r="O105" i="13"/>
  <c r="D474" i="13"/>
  <c r="D449" i="13"/>
  <c r="C196" i="13"/>
  <c r="I415" i="13"/>
  <c r="L407" i="13"/>
  <c r="O572" i="13"/>
  <c r="H526" i="13"/>
  <c r="G159" i="13"/>
  <c r="C202" i="13"/>
  <c r="C521" i="13"/>
  <c r="N142" i="13"/>
  <c r="K310" i="9"/>
  <c r="K309" i="13"/>
  <c r="H310" i="13"/>
  <c r="Q105" i="13"/>
  <c r="N371" i="13"/>
  <c r="G371" i="13" s="1"/>
  <c r="M504" i="13"/>
  <c r="G606" i="13"/>
  <c r="D236" i="13"/>
  <c r="C385" i="13"/>
  <c r="N573" i="13"/>
  <c r="I492" i="13"/>
  <c r="I492" i="9" s="1"/>
  <c r="C462" i="13"/>
  <c r="H427" i="13"/>
  <c r="P7" i="13"/>
  <c r="N411" i="13"/>
  <c r="G412" i="13"/>
  <c r="D412" i="13"/>
  <c r="G209" i="13"/>
  <c r="K316" i="9"/>
  <c r="G165" i="13"/>
  <c r="G403" i="13"/>
  <c r="G243" i="13"/>
  <c r="N536" i="13"/>
  <c r="M7" i="13"/>
  <c r="C218" i="13"/>
  <c r="C295" i="13"/>
  <c r="I101" i="13"/>
  <c r="L101" i="9"/>
  <c r="L100" i="13"/>
  <c r="H419" i="13"/>
  <c r="O418" i="13"/>
  <c r="L536" i="13"/>
  <c r="L504" i="13" s="1"/>
  <c r="I537" i="13"/>
  <c r="J251" i="13"/>
  <c r="G252" i="13"/>
  <c r="N257" i="13"/>
  <c r="G37" i="13"/>
  <c r="C357" i="13"/>
  <c r="G623" i="13"/>
  <c r="D200" i="13"/>
  <c r="H439" i="13"/>
  <c r="N46" i="13"/>
  <c r="C230" i="13"/>
  <c r="I229" i="13"/>
  <c r="C132" i="13"/>
  <c r="Q17" i="13"/>
  <c r="G244" i="13"/>
  <c r="N329" i="13"/>
  <c r="C507" i="13"/>
  <c r="C543" i="13"/>
  <c r="H531" i="13"/>
  <c r="G466" i="13"/>
  <c r="H202" i="13"/>
  <c r="G174" i="13"/>
  <c r="I323" i="13"/>
  <c r="I323" i="9" s="1"/>
  <c r="I324" i="9"/>
  <c r="D403" i="13"/>
  <c r="G526" i="13"/>
  <c r="I126" i="13"/>
  <c r="H491" i="13"/>
  <c r="M105" i="13"/>
  <c r="H557" i="13"/>
  <c r="D503" i="13"/>
  <c r="O77" i="13"/>
  <c r="O17" i="13"/>
  <c r="G107" i="13"/>
  <c r="E384" i="13"/>
  <c r="G587" i="13"/>
  <c r="G604" i="13"/>
  <c r="K106" i="13"/>
  <c r="C112" i="13"/>
  <c r="E493" i="13"/>
  <c r="E494" i="9"/>
  <c r="G200" i="13"/>
  <c r="J96" i="9"/>
  <c r="G96" i="13"/>
  <c r="G96" i="9" s="1"/>
  <c r="C399" i="13"/>
  <c r="J102" i="9"/>
  <c r="G102" i="13"/>
  <c r="G102" i="9" s="1"/>
  <c r="J101" i="13"/>
  <c r="M369" i="13"/>
  <c r="P292" i="13"/>
  <c r="H229" i="13"/>
  <c r="N568" i="9"/>
  <c r="N567" i="13"/>
  <c r="N567" i="9" s="1"/>
  <c r="N562" i="13"/>
  <c r="N562" i="9" s="1"/>
  <c r="N563" i="9"/>
  <c r="N492" i="13"/>
  <c r="N492" i="9" s="1"/>
  <c r="N493" i="9"/>
  <c r="C557" i="13"/>
  <c r="G261" i="13"/>
  <c r="G384" i="13"/>
  <c r="G394" i="13"/>
  <c r="N390" i="13"/>
  <c r="G189" i="13"/>
  <c r="J188" i="13"/>
  <c r="I147" i="13"/>
  <c r="J511" i="13"/>
  <c r="G512" i="13"/>
  <c r="L293" i="13"/>
  <c r="I299" i="13"/>
  <c r="G517" i="13"/>
  <c r="J516" i="13"/>
  <c r="G237" i="13"/>
  <c r="J236" i="13"/>
  <c r="H56" i="13"/>
  <c r="K55" i="13"/>
  <c r="K147" i="13"/>
  <c r="H148" i="13"/>
  <c r="N316" i="13"/>
  <c r="N316" i="9" s="1"/>
  <c r="G317" i="13"/>
  <c r="I329" i="13"/>
  <c r="L328" i="13"/>
  <c r="G342" i="13"/>
  <c r="M257" i="13"/>
  <c r="G277" i="13"/>
  <c r="J573" i="13"/>
  <c r="I56" i="13"/>
  <c r="L55" i="13"/>
  <c r="C532" i="13"/>
  <c r="J531" i="13"/>
  <c r="G532" i="13"/>
  <c r="H573" i="13"/>
  <c r="K572" i="13"/>
  <c r="L9" i="13"/>
  <c r="O469" i="13"/>
  <c r="H470" i="13"/>
  <c r="I615" i="13"/>
  <c r="I615" i="9" s="1"/>
  <c r="P572" i="13"/>
  <c r="N432" i="13"/>
  <c r="G433" i="13"/>
  <c r="H178" i="13"/>
  <c r="K177" i="13"/>
  <c r="G75" i="13"/>
  <c r="J74" i="13"/>
  <c r="P431" i="13"/>
  <c r="I432" i="13"/>
  <c r="H19" i="13"/>
  <c r="K18" i="13"/>
  <c r="N470" i="13"/>
  <c r="G471" i="13"/>
  <c r="G149" i="13"/>
  <c r="J148" i="13"/>
  <c r="J370" i="13"/>
  <c r="G300" i="13"/>
  <c r="J299" i="13"/>
  <c r="N147" i="13"/>
  <c r="G162" i="13"/>
  <c r="G569" i="13"/>
  <c r="G569" i="9" s="1"/>
  <c r="J568" i="13"/>
  <c r="J568" i="9" s="1"/>
  <c r="N489" i="13"/>
  <c r="G490" i="13"/>
  <c r="I236" i="13"/>
  <c r="L228" i="13"/>
  <c r="K363" i="13"/>
  <c r="H364" i="13"/>
  <c r="H364" i="9" s="1"/>
  <c r="I93" i="13"/>
  <c r="L92" i="13"/>
  <c r="I505" i="13"/>
  <c r="G506" i="13"/>
  <c r="L46" i="13"/>
  <c r="G310" i="13"/>
  <c r="J309" i="13"/>
  <c r="J309" i="9" s="1"/>
  <c r="H506" i="13"/>
  <c r="K390" i="13"/>
  <c r="G196" i="13"/>
  <c r="J195" i="13"/>
  <c r="J398" i="13"/>
  <c r="G333" i="13"/>
  <c r="J329" i="13"/>
  <c r="O488" i="13"/>
  <c r="H489" i="13"/>
  <c r="H236" i="13"/>
  <c r="K228" i="13"/>
  <c r="H563" i="13"/>
  <c r="H563" i="9" s="1"/>
  <c r="K562" i="13"/>
  <c r="J323" i="13"/>
  <c r="J323" i="9" s="1"/>
  <c r="G324" i="13"/>
  <c r="I573" i="13"/>
  <c r="L572" i="13"/>
  <c r="K567" i="13"/>
  <c r="H568" i="13"/>
  <c r="H568" i="9" s="1"/>
  <c r="I363" i="13" l="1"/>
  <c r="I363" i="9" s="1"/>
  <c r="H78" i="13"/>
  <c r="H77" i="13" s="1"/>
  <c r="L363" i="9"/>
  <c r="H619" i="13"/>
  <c r="G620" i="13"/>
  <c r="K100" i="9"/>
  <c r="M309" i="9"/>
  <c r="I567" i="13"/>
  <c r="I567" i="9" s="1"/>
  <c r="H100" i="13"/>
  <c r="H100" i="9" s="1"/>
  <c r="E617" i="13"/>
  <c r="E616" i="13" s="1"/>
  <c r="G618" i="9"/>
  <c r="L567" i="9"/>
  <c r="H93" i="9"/>
  <c r="K92" i="9"/>
  <c r="G616" i="9"/>
  <c r="M363" i="9"/>
  <c r="E574" i="13"/>
  <c r="E573" i="13" s="1"/>
  <c r="G131" i="13"/>
  <c r="G449" i="13"/>
  <c r="N9" i="13"/>
  <c r="G364" i="13"/>
  <c r="G364" i="9" s="1"/>
  <c r="J363" i="13"/>
  <c r="G363" i="13" s="1"/>
  <c r="G363" i="9" s="1"/>
  <c r="G419" i="13"/>
  <c r="G178" i="13"/>
  <c r="J469" i="13"/>
  <c r="I66" i="13"/>
  <c r="N499" i="13"/>
  <c r="N499" i="9" s="1"/>
  <c r="E56" i="13"/>
  <c r="E55" i="13" s="1"/>
  <c r="H341" i="13"/>
  <c r="N418" i="13"/>
  <c r="K328" i="13"/>
  <c r="G111" i="13"/>
  <c r="G445" i="13"/>
  <c r="J492" i="13"/>
  <c r="J492" i="9" s="1"/>
  <c r="G493" i="13"/>
  <c r="G493" i="9" s="1"/>
  <c r="G474" i="13"/>
  <c r="J92" i="13"/>
  <c r="J92" i="9" s="1"/>
  <c r="H492" i="13"/>
  <c r="H492" i="9" s="1"/>
  <c r="J142" i="13"/>
  <c r="G142" i="13" s="1"/>
  <c r="G143" i="13"/>
  <c r="G217" i="13"/>
  <c r="G93" i="13"/>
  <c r="G92" i="13" s="1"/>
  <c r="G92" i="9" s="1"/>
  <c r="H82" i="13"/>
  <c r="K492" i="9"/>
  <c r="G429" i="13"/>
  <c r="J536" i="13"/>
  <c r="G536" i="13" s="1"/>
  <c r="G67" i="13"/>
  <c r="G269" i="13"/>
  <c r="G258" i="13"/>
  <c r="C563" i="13"/>
  <c r="C562" i="13" s="1"/>
  <c r="C562" i="9" s="1"/>
  <c r="N500" i="9"/>
  <c r="G500" i="13"/>
  <c r="G500" i="9" s="1"/>
  <c r="H407" i="13"/>
  <c r="K47" i="13"/>
  <c r="H48" i="13"/>
  <c r="G56" i="13"/>
  <c r="J82" i="13"/>
  <c r="G410" i="13"/>
  <c r="I562" i="13"/>
  <c r="I562" i="9" s="1"/>
  <c r="L369" i="13"/>
  <c r="G83" i="13"/>
  <c r="G82" i="13" s="1"/>
  <c r="J562" i="13"/>
  <c r="G562" i="13" s="1"/>
  <c r="G562" i="9" s="1"/>
  <c r="K126" i="13"/>
  <c r="G563" i="13"/>
  <c r="G563" i="9" s="1"/>
  <c r="M292" i="13"/>
  <c r="H127" i="13"/>
  <c r="C313" i="9"/>
  <c r="G294" i="13"/>
  <c r="J293" i="13"/>
  <c r="G457" i="13"/>
  <c r="G47" i="13"/>
  <c r="J46" i="13"/>
  <c r="J126" i="13"/>
  <c r="H536" i="13"/>
  <c r="G106" i="13"/>
  <c r="J257" i="13"/>
  <c r="G257" i="13" s="1"/>
  <c r="G408" i="13"/>
  <c r="G264" i="13"/>
  <c r="Q503" i="13"/>
  <c r="P327" i="13"/>
  <c r="J431" i="13"/>
  <c r="G574" i="13"/>
  <c r="G573" i="13" s="1"/>
  <c r="J341" i="13"/>
  <c r="G341" i="13" s="1"/>
  <c r="J18" i="13"/>
  <c r="G19" i="13"/>
  <c r="G378" i="13"/>
  <c r="H7" i="13"/>
  <c r="I370" i="13"/>
  <c r="G41" i="13"/>
  <c r="L562" i="9"/>
  <c r="H431" i="13"/>
  <c r="N7" i="13"/>
  <c r="G626" i="13"/>
  <c r="H370" i="13"/>
  <c r="N328" i="13"/>
  <c r="N327" i="13" s="1"/>
  <c r="N619" i="13"/>
  <c r="G11" i="13"/>
  <c r="J55" i="13"/>
  <c r="J505" i="13"/>
  <c r="G537" i="13"/>
  <c r="P499" i="9"/>
  <c r="I7" i="13"/>
  <c r="I18" i="13"/>
  <c r="J7" i="13"/>
  <c r="G381" i="13"/>
  <c r="P369" i="13"/>
  <c r="H572" i="13"/>
  <c r="G316" i="13"/>
  <c r="G316" i="9" s="1"/>
  <c r="G317" i="9"/>
  <c r="G516" i="13"/>
  <c r="O16" i="13"/>
  <c r="H418" i="13"/>
  <c r="H309" i="13"/>
  <c r="H309" i="9" s="1"/>
  <c r="H310" i="9"/>
  <c r="N572" i="13"/>
  <c r="M16" i="13"/>
  <c r="H66" i="13"/>
  <c r="G521" i="13"/>
  <c r="E341" i="13"/>
  <c r="O327" i="13"/>
  <c r="C316" i="13"/>
  <c r="C316" i="9" s="1"/>
  <c r="C317" i="9"/>
  <c r="G195" i="13"/>
  <c r="G74" i="13"/>
  <c r="C229" i="13"/>
  <c r="C217" i="13"/>
  <c r="K309" i="9"/>
  <c r="O104" i="13"/>
  <c r="J78" i="13"/>
  <c r="G79" i="13"/>
  <c r="D341" i="13"/>
  <c r="N292" i="13"/>
  <c r="G63" i="13"/>
  <c r="N504" i="13"/>
  <c r="C243" i="13"/>
  <c r="C457" i="13"/>
  <c r="I78" i="13"/>
  <c r="L77" i="13"/>
  <c r="G425" i="13"/>
  <c r="D439" i="13"/>
  <c r="L92" i="9"/>
  <c r="H567" i="13"/>
  <c r="H567" i="9" s="1"/>
  <c r="K567" i="9"/>
  <c r="H562" i="13"/>
  <c r="H562" i="9" s="1"/>
  <c r="K562" i="9"/>
  <c r="I572" i="13"/>
  <c r="H228" i="13"/>
  <c r="I431" i="13"/>
  <c r="G299" i="13"/>
  <c r="G531" i="13"/>
  <c r="G511" i="13"/>
  <c r="J101" i="9"/>
  <c r="G101" i="13"/>
  <c r="J100" i="13"/>
  <c r="J100" i="9" s="1"/>
  <c r="D398" i="13"/>
  <c r="C384" i="13"/>
  <c r="E329" i="13"/>
  <c r="C195" i="13"/>
  <c r="Q369" i="13"/>
  <c r="C511" i="13"/>
  <c r="P503" i="13"/>
  <c r="P104" i="13"/>
  <c r="G60" i="13"/>
  <c r="P16" i="13"/>
  <c r="D228" i="13"/>
  <c r="G309" i="13"/>
  <c r="G309" i="9" s="1"/>
  <c r="G310" i="9"/>
  <c r="H363" i="13"/>
  <c r="H363" i="9" s="1"/>
  <c r="K363" i="9"/>
  <c r="G491" i="13"/>
  <c r="I55" i="13"/>
  <c r="G323" i="13"/>
  <c r="G323" i="9" s="1"/>
  <c r="G324" i="9"/>
  <c r="J66" i="13"/>
  <c r="I228" i="13"/>
  <c r="H177" i="13"/>
  <c r="C531" i="13"/>
  <c r="J572" i="13"/>
  <c r="G251" i="13"/>
  <c r="L100" i="9"/>
  <c r="Q572" i="13"/>
  <c r="M503" i="13"/>
  <c r="D470" i="13"/>
  <c r="C183" i="13"/>
  <c r="E106" i="13"/>
  <c r="C19" i="13"/>
  <c r="H293" i="13"/>
  <c r="K292" i="13"/>
  <c r="C568" i="13"/>
  <c r="C569" i="9"/>
  <c r="C299" i="13"/>
  <c r="C449" i="13"/>
  <c r="G423" i="13"/>
  <c r="H55" i="13"/>
  <c r="E492" i="13"/>
  <c r="E492" i="9" s="1"/>
  <c r="E493" i="9"/>
  <c r="Q16" i="13"/>
  <c r="C516" i="13"/>
  <c r="D188" i="13"/>
  <c r="G171" i="13"/>
  <c r="D202" i="13"/>
  <c r="C46" i="13"/>
  <c r="C309" i="13"/>
  <c r="C309" i="9" s="1"/>
  <c r="C310" i="9"/>
  <c r="H488" i="13"/>
  <c r="H390" i="13"/>
  <c r="C111" i="13"/>
  <c r="E370" i="13"/>
  <c r="C542" i="13"/>
  <c r="C356" i="13"/>
  <c r="I100" i="13"/>
  <c r="I100" i="9" s="1"/>
  <c r="I101" i="9"/>
  <c r="D411" i="13"/>
  <c r="N370" i="13"/>
  <c r="E18" i="13"/>
  <c r="M328" i="13"/>
  <c r="D492" i="13"/>
  <c r="D492" i="9" s="1"/>
  <c r="D493" i="9"/>
  <c r="D418" i="13"/>
  <c r="J407" i="13"/>
  <c r="G415" i="13"/>
  <c r="H478" i="13"/>
  <c r="E228" i="13"/>
  <c r="Q104" i="13"/>
  <c r="G484" i="13"/>
  <c r="C148" i="13"/>
  <c r="I499" i="13"/>
  <c r="N105" i="13"/>
  <c r="E431" i="13"/>
  <c r="M146" i="13"/>
  <c r="G188" i="13"/>
  <c r="C398" i="13"/>
  <c r="C131" i="13"/>
  <c r="I536" i="13"/>
  <c r="C294" i="13"/>
  <c r="G413" i="13"/>
  <c r="O503" i="13"/>
  <c r="G439" i="13"/>
  <c r="N17" i="13"/>
  <c r="G375" i="13"/>
  <c r="N478" i="13"/>
  <c r="G482" i="13"/>
  <c r="G229" i="13"/>
  <c r="C526" i="13"/>
  <c r="C547" i="13"/>
  <c r="I92" i="13"/>
  <c r="I92" i="9" s="1"/>
  <c r="I93" i="9"/>
  <c r="N146" i="13"/>
  <c r="H106" i="13"/>
  <c r="C506" i="13"/>
  <c r="D195" i="13"/>
  <c r="G411" i="13"/>
  <c r="N407" i="13"/>
  <c r="I407" i="13"/>
  <c r="C236" i="13"/>
  <c r="D370" i="13"/>
  <c r="L105" i="13"/>
  <c r="I106" i="13"/>
  <c r="C67" i="13"/>
  <c r="C269" i="13"/>
  <c r="C188" i="13"/>
  <c r="I9" i="13"/>
  <c r="H469" i="13"/>
  <c r="O369" i="13"/>
  <c r="J567" i="13"/>
  <c r="G568" i="13"/>
  <c r="G568" i="9" s="1"/>
  <c r="G236" i="13"/>
  <c r="J228" i="13"/>
  <c r="L503" i="13"/>
  <c r="I504" i="13"/>
  <c r="J177" i="13"/>
  <c r="H147" i="13"/>
  <c r="K146" i="13"/>
  <c r="N469" i="13"/>
  <c r="G470" i="13"/>
  <c r="L292" i="13"/>
  <c r="I293" i="13"/>
  <c r="J147" i="13"/>
  <c r="G148" i="13"/>
  <c r="N488" i="13"/>
  <c r="G489" i="13"/>
  <c r="I46" i="13"/>
  <c r="L17" i="13"/>
  <c r="L146" i="13"/>
  <c r="N431" i="13"/>
  <c r="G432" i="13"/>
  <c r="G329" i="13"/>
  <c r="G398" i="13"/>
  <c r="J390" i="13"/>
  <c r="H505" i="13"/>
  <c r="K504" i="13"/>
  <c r="H18" i="13"/>
  <c r="I328" i="13"/>
  <c r="L327" i="13"/>
  <c r="K369" i="13"/>
  <c r="E617" i="9" l="1"/>
  <c r="E615" i="13"/>
  <c r="E615" i="9" s="1"/>
  <c r="E616" i="9"/>
  <c r="J363" i="9"/>
  <c r="K327" i="13"/>
  <c r="H328" i="13"/>
  <c r="H327" i="13" s="1"/>
  <c r="J105" i="13"/>
  <c r="G492" i="13"/>
  <c r="G492" i="9" s="1"/>
  <c r="G93" i="9"/>
  <c r="C563" i="9"/>
  <c r="G7" i="13"/>
  <c r="J292" i="13"/>
  <c r="G293" i="13"/>
  <c r="G292" i="13" s="1"/>
  <c r="H47" i="13"/>
  <c r="K46" i="13"/>
  <c r="J562" i="9"/>
  <c r="K9" i="13"/>
  <c r="G46" i="13"/>
  <c r="H126" i="13"/>
  <c r="H105" i="13" s="1"/>
  <c r="K105" i="13"/>
  <c r="G126" i="13"/>
  <c r="G18" i="13"/>
  <c r="J328" i="13"/>
  <c r="G619" i="13"/>
  <c r="P8" i="13"/>
  <c r="J17" i="13"/>
  <c r="G55" i="13"/>
  <c r="I146" i="13"/>
  <c r="N104" i="13"/>
  <c r="J504" i="13"/>
  <c r="G505" i="13"/>
  <c r="G370" i="13"/>
  <c r="H369" i="13"/>
  <c r="G407" i="13"/>
  <c r="I369" i="13"/>
  <c r="L16" i="13"/>
  <c r="C126" i="13"/>
  <c r="M104" i="13"/>
  <c r="C106" i="13"/>
  <c r="D177" i="13"/>
  <c r="C567" i="13"/>
  <c r="C567" i="9" s="1"/>
  <c r="C568" i="9"/>
  <c r="E105" i="13"/>
  <c r="G66" i="13"/>
  <c r="C370" i="13"/>
  <c r="G390" i="13"/>
  <c r="I17" i="13"/>
  <c r="G228" i="13"/>
  <c r="C257" i="13"/>
  <c r="I327" i="13"/>
  <c r="G469" i="13"/>
  <c r="C390" i="13"/>
  <c r="E17" i="13"/>
  <c r="H292" i="13"/>
  <c r="D390" i="13"/>
  <c r="I77" i="13"/>
  <c r="C341" i="13"/>
  <c r="D328" i="13"/>
  <c r="C228" i="13"/>
  <c r="G418" i="13"/>
  <c r="C66" i="13"/>
  <c r="N16" i="13"/>
  <c r="G572" i="13"/>
  <c r="C431" i="13"/>
  <c r="G100" i="13"/>
  <c r="G100" i="9" s="1"/>
  <c r="G101" i="9"/>
  <c r="N503" i="13"/>
  <c r="G567" i="13"/>
  <c r="G567" i="9" s="1"/>
  <c r="J567" i="9"/>
  <c r="C505" i="13"/>
  <c r="L104" i="13"/>
  <c r="H146" i="13"/>
  <c r="I105" i="13"/>
  <c r="G499" i="13"/>
  <c r="G499" i="9" s="1"/>
  <c r="I499" i="9"/>
  <c r="E146" i="13"/>
  <c r="C18" i="13"/>
  <c r="D469" i="13"/>
  <c r="Q8" i="13"/>
  <c r="G78" i="13"/>
  <c r="J77" i="13"/>
  <c r="G478" i="13"/>
  <c r="D407" i="13"/>
  <c r="E369" i="13"/>
  <c r="G488" i="13"/>
  <c r="C293" i="13"/>
  <c r="E328" i="13"/>
  <c r="D431" i="13"/>
  <c r="J369" i="13"/>
  <c r="G177" i="13"/>
  <c r="I292" i="13"/>
  <c r="I503" i="13"/>
  <c r="C147" i="13"/>
  <c r="M327" i="13"/>
  <c r="C536" i="13"/>
  <c r="C177" i="13"/>
  <c r="N369" i="13"/>
  <c r="O8" i="13"/>
  <c r="G147" i="13"/>
  <c r="J146" i="13"/>
  <c r="G431" i="13"/>
  <c r="H504" i="13"/>
  <c r="K503" i="13"/>
  <c r="K104" i="13" l="1"/>
  <c r="E572" i="13"/>
  <c r="K17" i="13"/>
  <c r="G105" i="13"/>
  <c r="H46" i="13"/>
  <c r="P6" i="13"/>
  <c r="J9" i="13"/>
  <c r="H9" i="13"/>
  <c r="G9" i="13" s="1"/>
  <c r="G328" i="13"/>
  <c r="G327" i="13" s="1"/>
  <c r="J327" i="13"/>
  <c r="L8" i="13"/>
  <c r="J503" i="13"/>
  <c r="G504" i="13"/>
  <c r="G17" i="13"/>
  <c r="C369" i="13"/>
  <c r="D146" i="13"/>
  <c r="G77" i="13"/>
  <c r="D327" i="13"/>
  <c r="E16" i="13"/>
  <c r="C105" i="13"/>
  <c r="C146" i="13"/>
  <c r="Q6" i="13"/>
  <c r="C328" i="13"/>
  <c r="I16" i="13"/>
  <c r="E104" i="13"/>
  <c r="M8" i="13"/>
  <c r="E327" i="13"/>
  <c r="J104" i="13"/>
  <c r="G146" i="13"/>
  <c r="N8" i="13"/>
  <c r="J16" i="13"/>
  <c r="H503" i="13"/>
  <c r="C292" i="13"/>
  <c r="C17" i="13"/>
  <c r="I104" i="13"/>
  <c r="C504" i="13"/>
  <c r="D369" i="13"/>
  <c r="H104" i="13"/>
  <c r="G369" i="13"/>
  <c r="O6" i="13"/>
  <c r="N6" i="13" l="1"/>
  <c r="K16" i="13"/>
  <c r="H17" i="13"/>
  <c r="H16" i="13" s="1"/>
  <c r="H8" i="13" s="1"/>
  <c r="L6" i="13"/>
  <c r="G16" i="13"/>
  <c r="G503" i="13"/>
  <c r="C104" i="13"/>
  <c r="G104" i="13"/>
  <c r="I8" i="13"/>
  <c r="J8" i="13"/>
  <c r="C503" i="13"/>
  <c r="M6" i="13"/>
  <c r="C327" i="13"/>
  <c r="D104" i="13"/>
  <c r="C16" i="13"/>
  <c r="E8" i="13"/>
  <c r="K8" i="13" l="1"/>
  <c r="I6" i="13"/>
  <c r="H6" i="13"/>
  <c r="J6" i="13"/>
  <c r="C12" i="13"/>
  <c r="G8" i="13"/>
  <c r="D8" i="13"/>
  <c r="C8" i="13"/>
  <c r="K6" i="13" l="1"/>
  <c r="G6" i="13"/>
  <c r="C11" i="13" l="1"/>
  <c r="E14" i="13"/>
  <c r="D15" i="13"/>
  <c r="N567" i="12" l="1"/>
  <c r="N631" i="9" s="1"/>
  <c r="J567" i="12"/>
  <c r="I567" i="12"/>
  <c r="I631" i="9" s="1"/>
  <c r="H567" i="12"/>
  <c r="H631" i="9" s="1"/>
  <c r="Q566" i="12"/>
  <c r="Q630" i="9" s="1"/>
  <c r="P566" i="12"/>
  <c r="O566" i="12"/>
  <c r="O630" i="9" s="1"/>
  <c r="M566" i="12"/>
  <c r="M630" i="9" s="1"/>
  <c r="L566" i="12"/>
  <c r="I566" i="12" s="1"/>
  <c r="I630" i="9" s="1"/>
  <c r="K566" i="12"/>
  <c r="K630" i="9" s="1"/>
  <c r="M565" i="12"/>
  <c r="M629" i="9" s="1"/>
  <c r="N564" i="12"/>
  <c r="J564" i="12"/>
  <c r="J628" i="9" s="1"/>
  <c r="I564" i="12"/>
  <c r="I628" i="9" s="1"/>
  <c r="H564" i="12"/>
  <c r="H628" i="9" s="1"/>
  <c r="Q563" i="12"/>
  <c r="Q627" i="9" s="1"/>
  <c r="P563" i="12"/>
  <c r="P627" i="9" s="1"/>
  <c r="O563" i="12"/>
  <c r="M563" i="12"/>
  <c r="L563" i="12"/>
  <c r="L627" i="9" s="1"/>
  <c r="K563" i="12"/>
  <c r="J563" i="12" s="1"/>
  <c r="J627" i="9" s="1"/>
  <c r="Q562" i="12"/>
  <c r="Q626" i="9" s="1"/>
  <c r="N561" i="12"/>
  <c r="N625" i="9" s="1"/>
  <c r="J561" i="12"/>
  <c r="I561" i="12"/>
  <c r="I625" i="9" s="1"/>
  <c r="H561" i="12"/>
  <c r="H625" i="9" s="1"/>
  <c r="Q560" i="12"/>
  <c r="P560" i="12"/>
  <c r="P624" i="9" s="1"/>
  <c r="O560" i="12"/>
  <c r="O624" i="9" s="1"/>
  <c r="N560" i="12"/>
  <c r="N624" i="9" s="1"/>
  <c r="M560" i="12"/>
  <c r="M624" i="9" s="1"/>
  <c r="L560" i="12"/>
  <c r="K560" i="12"/>
  <c r="I560" i="12"/>
  <c r="I624" i="9" s="1"/>
  <c r="P559" i="12"/>
  <c r="P623" i="9" s="1"/>
  <c r="M559" i="12"/>
  <c r="M623" i="9" s="1"/>
  <c r="K559" i="12"/>
  <c r="N558" i="12"/>
  <c r="N622" i="9" s="1"/>
  <c r="J558" i="12"/>
  <c r="J622" i="9" s="1"/>
  <c r="I558" i="12"/>
  <c r="I622" i="9" s="1"/>
  <c r="H558" i="12"/>
  <c r="H622" i="9" s="1"/>
  <c r="Q557" i="12"/>
  <c r="Q621" i="9" s="1"/>
  <c r="P557" i="12"/>
  <c r="O557" i="12"/>
  <c r="M557" i="12"/>
  <c r="L557" i="12"/>
  <c r="L621" i="9" s="1"/>
  <c r="K557" i="12"/>
  <c r="Q556" i="12"/>
  <c r="Q620" i="9" s="1"/>
  <c r="L556" i="12"/>
  <c r="E555" i="12"/>
  <c r="E619" i="9" s="1"/>
  <c r="D555" i="12"/>
  <c r="D619" i="9" s="1"/>
  <c r="C555" i="12"/>
  <c r="C619" i="9" s="1"/>
  <c r="P554" i="12"/>
  <c r="P614" i="9" s="1"/>
  <c r="O554" i="12"/>
  <c r="O614" i="9" s="1"/>
  <c r="N554" i="12"/>
  <c r="N614" i="9" s="1"/>
  <c r="M554" i="12"/>
  <c r="M614" i="9" s="1"/>
  <c r="L554" i="12"/>
  <c r="L614" i="9" s="1"/>
  <c r="K554" i="12"/>
  <c r="K614" i="9" s="1"/>
  <c r="H554" i="12"/>
  <c r="H614" i="9" s="1"/>
  <c r="Q553" i="12"/>
  <c r="Q613" i="9" s="1"/>
  <c r="N553" i="12"/>
  <c r="N613" i="9" s="1"/>
  <c r="J553" i="12"/>
  <c r="G553" i="12" s="1"/>
  <c r="I553" i="12"/>
  <c r="I613" i="9" s="1"/>
  <c r="H553" i="12"/>
  <c r="H613" i="9" s="1"/>
  <c r="P552" i="12"/>
  <c r="O552" i="12"/>
  <c r="O612" i="9" s="1"/>
  <c r="M552" i="12"/>
  <c r="M612" i="9" s="1"/>
  <c r="L552" i="12"/>
  <c r="L612" i="9" s="1"/>
  <c r="K552" i="12"/>
  <c r="E552" i="12"/>
  <c r="E612" i="9" s="1"/>
  <c r="D552" i="12"/>
  <c r="D612" i="9" s="1"/>
  <c r="C552" i="12"/>
  <c r="C612" i="9" s="1"/>
  <c r="P551" i="12"/>
  <c r="P611" i="9" s="1"/>
  <c r="O551" i="12"/>
  <c r="O611" i="9" s="1"/>
  <c r="M551" i="12"/>
  <c r="M611" i="9" s="1"/>
  <c r="L551" i="12"/>
  <c r="L611" i="9" s="1"/>
  <c r="K551" i="12"/>
  <c r="K611" i="9" s="1"/>
  <c r="J551" i="12"/>
  <c r="J611" i="9" s="1"/>
  <c r="Q550" i="12"/>
  <c r="Q610" i="9" s="1"/>
  <c r="N550" i="12"/>
  <c r="J550" i="12"/>
  <c r="J610" i="9" s="1"/>
  <c r="I550" i="12"/>
  <c r="H550" i="12"/>
  <c r="G550" i="12"/>
  <c r="Q549" i="12"/>
  <c r="Q609" i="9" s="1"/>
  <c r="P549" i="12"/>
  <c r="P609" i="9" s="1"/>
  <c r="O549" i="12"/>
  <c r="O609" i="9" s="1"/>
  <c r="M549" i="12"/>
  <c r="M609" i="9" s="1"/>
  <c r="L549" i="12"/>
  <c r="L609" i="9" s="1"/>
  <c r="K549" i="12"/>
  <c r="K609" i="9" s="1"/>
  <c r="I549" i="12"/>
  <c r="I609" i="9" s="1"/>
  <c r="N548" i="12"/>
  <c r="N608" i="9" s="1"/>
  <c r="J548" i="12"/>
  <c r="J608" i="9" s="1"/>
  <c r="I548" i="12"/>
  <c r="I608" i="9" s="1"/>
  <c r="H548" i="12"/>
  <c r="P547" i="12"/>
  <c r="P607" i="9" s="1"/>
  <c r="O547" i="12"/>
  <c r="O607" i="9" s="1"/>
  <c r="M547" i="12"/>
  <c r="M607" i="9" s="1"/>
  <c r="L547" i="12"/>
  <c r="L607" i="9" s="1"/>
  <c r="K547" i="12"/>
  <c r="K607" i="9" s="1"/>
  <c r="I547" i="12"/>
  <c r="I607" i="9" s="1"/>
  <c r="E547" i="12"/>
  <c r="E607" i="9" s="1"/>
  <c r="D547" i="12"/>
  <c r="D607" i="9" s="1"/>
  <c r="C547" i="12"/>
  <c r="C607" i="9" s="1"/>
  <c r="Q546" i="12"/>
  <c r="P546" i="12"/>
  <c r="P606" i="9" s="1"/>
  <c r="O546" i="12"/>
  <c r="O606" i="9" s="1"/>
  <c r="M546" i="12"/>
  <c r="M606" i="9" s="1"/>
  <c r="L546" i="12"/>
  <c r="L606" i="9" s="1"/>
  <c r="K546" i="12"/>
  <c r="K606" i="9" s="1"/>
  <c r="I546" i="12"/>
  <c r="I606" i="9" s="1"/>
  <c r="N545" i="12"/>
  <c r="J545" i="12"/>
  <c r="J605" i="9" s="1"/>
  <c r="I545" i="12"/>
  <c r="I605" i="9" s="1"/>
  <c r="H545" i="12"/>
  <c r="H605" i="9" s="1"/>
  <c r="P544" i="12"/>
  <c r="P604" i="9" s="1"/>
  <c r="O544" i="12"/>
  <c r="O604" i="9" s="1"/>
  <c r="M544" i="12"/>
  <c r="M604" i="9" s="1"/>
  <c r="L544" i="12"/>
  <c r="K544" i="12"/>
  <c r="K604" i="9" s="1"/>
  <c r="E544" i="12"/>
  <c r="E604" i="9" s="1"/>
  <c r="D544" i="12"/>
  <c r="D604" i="9" s="1"/>
  <c r="C544" i="12"/>
  <c r="C604" i="9" s="1"/>
  <c r="P543" i="12"/>
  <c r="P603" i="9" s="1"/>
  <c r="O543" i="12"/>
  <c r="O603" i="9" s="1"/>
  <c r="M543" i="12"/>
  <c r="M603" i="9" s="1"/>
  <c r="L543" i="12"/>
  <c r="L603" i="9" s="1"/>
  <c r="K543" i="12"/>
  <c r="K603" i="9" s="1"/>
  <c r="J543" i="12"/>
  <c r="J603" i="9" s="1"/>
  <c r="I543" i="12"/>
  <c r="I603" i="9" s="1"/>
  <c r="Q542" i="12"/>
  <c r="Q602" i="9" s="1"/>
  <c r="N542" i="12"/>
  <c r="J542" i="12"/>
  <c r="I542" i="12"/>
  <c r="I602" i="9" s="1"/>
  <c r="H542" i="12"/>
  <c r="Q541" i="12"/>
  <c r="P541" i="12"/>
  <c r="P601" i="9" s="1"/>
  <c r="O541" i="12"/>
  <c r="O601" i="9" s="1"/>
  <c r="N541" i="12"/>
  <c r="N601" i="9" s="1"/>
  <c r="M541" i="12"/>
  <c r="M601" i="9" s="1"/>
  <c r="L541" i="12"/>
  <c r="L601" i="9" s="1"/>
  <c r="K541" i="12"/>
  <c r="K601" i="9" s="1"/>
  <c r="J541" i="12"/>
  <c r="J601" i="9" s="1"/>
  <c r="I541" i="12"/>
  <c r="I601" i="9" s="1"/>
  <c r="N540" i="12"/>
  <c r="J540" i="12"/>
  <c r="J600" i="9" s="1"/>
  <c r="I540" i="12"/>
  <c r="I600" i="9" s="1"/>
  <c r="H540" i="12"/>
  <c r="H600" i="9" s="1"/>
  <c r="P539" i="12"/>
  <c r="P599" i="9" s="1"/>
  <c r="O539" i="12"/>
  <c r="M539" i="12"/>
  <c r="M599" i="9" s="1"/>
  <c r="L539" i="12"/>
  <c r="K539" i="12"/>
  <c r="K599" i="9" s="1"/>
  <c r="J539" i="12"/>
  <c r="J599" i="9" s="1"/>
  <c r="E539" i="12"/>
  <c r="E599" i="9" s="1"/>
  <c r="D539" i="12"/>
  <c r="D599" i="9" s="1"/>
  <c r="C539" i="12"/>
  <c r="C599" i="9" s="1"/>
  <c r="Q538" i="12"/>
  <c r="Q598" i="9" s="1"/>
  <c r="Q537" i="12"/>
  <c r="Q597" i="9" s="1"/>
  <c r="P537" i="12"/>
  <c r="P597" i="9" s="1"/>
  <c r="O537" i="12"/>
  <c r="O597" i="9" s="1"/>
  <c r="M537" i="12"/>
  <c r="M597" i="9" s="1"/>
  <c r="L537" i="12"/>
  <c r="L597" i="9" s="1"/>
  <c r="K537" i="12"/>
  <c r="K597" i="9" s="1"/>
  <c r="H537" i="12"/>
  <c r="H597" i="9" s="1"/>
  <c r="N536" i="12"/>
  <c r="N596" i="9" s="1"/>
  <c r="J536" i="12"/>
  <c r="I536" i="12"/>
  <c r="H536" i="12"/>
  <c r="H596" i="9" s="1"/>
  <c r="P535" i="12"/>
  <c r="P595" i="9" s="1"/>
  <c r="O535" i="12"/>
  <c r="O595" i="9" s="1"/>
  <c r="M535" i="12"/>
  <c r="M595" i="9" s="1"/>
  <c r="L535" i="12"/>
  <c r="L595" i="9" s="1"/>
  <c r="K535" i="12"/>
  <c r="K595" i="9" s="1"/>
  <c r="H535" i="12"/>
  <c r="H595" i="9" s="1"/>
  <c r="Q534" i="12"/>
  <c r="Q594" i="9" s="1"/>
  <c r="N534" i="12"/>
  <c r="N594" i="9" s="1"/>
  <c r="J534" i="12"/>
  <c r="J594" i="9" s="1"/>
  <c r="I534" i="12"/>
  <c r="H534" i="12"/>
  <c r="H594" i="9" s="1"/>
  <c r="Q533" i="12"/>
  <c r="Q593" i="9" s="1"/>
  <c r="G533" i="12"/>
  <c r="G593" i="9" s="1"/>
  <c r="N532" i="12"/>
  <c r="N592" i="9" s="1"/>
  <c r="J532" i="12"/>
  <c r="J592" i="9" s="1"/>
  <c r="I532" i="12"/>
  <c r="I592" i="9" s="1"/>
  <c r="H532" i="12"/>
  <c r="H592" i="9" s="1"/>
  <c r="P531" i="12"/>
  <c r="P591" i="9" s="1"/>
  <c r="O531" i="12"/>
  <c r="M531" i="12"/>
  <c r="M591" i="9" s="1"/>
  <c r="L531" i="12"/>
  <c r="K531" i="12"/>
  <c r="K591" i="9" s="1"/>
  <c r="D531" i="12"/>
  <c r="D591" i="9" s="1"/>
  <c r="C531" i="12"/>
  <c r="C591" i="9" s="1"/>
  <c r="Q530" i="12"/>
  <c r="P530" i="12"/>
  <c r="P590" i="9" s="1"/>
  <c r="O530" i="12"/>
  <c r="O590" i="9" s="1"/>
  <c r="M530" i="12"/>
  <c r="M590" i="9" s="1"/>
  <c r="L530" i="12"/>
  <c r="L590" i="9" s="1"/>
  <c r="K530" i="12"/>
  <c r="K590" i="9" s="1"/>
  <c r="N529" i="12"/>
  <c r="N589" i="9" s="1"/>
  <c r="J529" i="12"/>
  <c r="J589" i="9" s="1"/>
  <c r="I529" i="12"/>
  <c r="H529" i="12"/>
  <c r="H589" i="9" s="1"/>
  <c r="P528" i="12"/>
  <c r="P588" i="9" s="1"/>
  <c r="O528" i="12"/>
  <c r="O588" i="9" s="1"/>
  <c r="M528" i="12"/>
  <c r="M588" i="9" s="1"/>
  <c r="L528" i="12"/>
  <c r="K528" i="12"/>
  <c r="K588" i="9" s="1"/>
  <c r="H528" i="12"/>
  <c r="H588" i="9" s="1"/>
  <c r="E528" i="12"/>
  <c r="E588" i="9" s="1"/>
  <c r="D528" i="12"/>
  <c r="D588" i="9" s="1"/>
  <c r="C528" i="12"/>
  <c r="C588" i="9" s="1"/>
  <c r="Q527" i="12"/>
  <c r="Q587" i="9" s="1"/>
  <c r="P527" i="12"/>
  <c r="P587" i="9" s="1"/>
  <c r="O527" i="12"/>
  <c r="O587" i="9" s="1"/>
  <c r="N527" i="12"/>
  <c r="N587" i="9" s="1"/>
  <c r="M527" i="12"/>
  <c r="M587" i="9" s="1"/>
  <c r="L527" i="12"/>
  <c r="L587" i="9" s="1"/>
  <c r="K527" i="12"/>
  <c r="K587" i="9" s="1"/>
  <c r="H527" i="12"/>
  <c r="H587" i="9" s="1"/>
  <c r="N526" i="12"/>
  <c r="N586" i="9" s="1"/>
  <c r="J526" i="12"/>
  <c r="I526" i="12"/>
  <c r="H526" i="12"/>
  <c r="H586" i="9" s="1"/>
  <c r="Q525" i="12"/>
  <c r="Q585" i="9" s="1"/>
  <c r="P525" i="12"/>
  <c r="P585" i="9" s="1"/>
  <c r="O525" i="12"/>
  <c r="O585" i="9" s="1"/>
  <c r="M525" i="12"/>
  <c r="M585" i="9" s="1"/>
  <c r="L525" i="12"/>
  <c r="L585" i="9" s="1"/>
  <c r="K525" i="12"/>
  <c r="K585" i="9" s="1"/>
  <c r="J525" i="12"/>
  <c r="J585" i="9" s="1"/>
  <c r="Q524" i="12"/>
  <c r="N524" i="12"/>
  <c r="J524" i="12"/>
  <c r="I524" i="12"/>
  <c r="I584" i="9" s="1"/>
  <c r="H524" i="12"/>
  <c r="P523" i="12"/>
  <c r="P583" i="9" s="1"/>
  <c r="O523" i="12"/>
  <c r="O583" i="9" s="1"/>
  <c r="N523" i="12"/>
  <c r="N583" i="9" s="1"/>
  <c r="M523" i="12"/>
  <c r="L523" i="12"/>
  <c r="L583" i="9" s="1"/>
  <c r="K523" i="12"/>
  <c r="K583" i="9" s="1"/>
  <c r="J523" i="12"/>
  <c r="J583" i="9" s="1"/>
  <c r="E523" i="12"/>
  <c r="E583" i="9" s="1"/>
  <c r="D523" i="12"/>
  <c r="C523" i="12"/>
  <c r="C583" i="9" s="1"/>
  <c r="G522" i="12"/>
  <c r="P521" i="12"/>
  <c r="P581" i="9" s="1"/>
  <c r="O521" i="12"/>
  <c r="O581" i="9" s="1"/>
  <c r="N521" i="12"/>
  <c r="N581" i="9" s="1"/>
  <c r="M521" i="12"/>
  <c r="M581" i="9" s="1"/>
  <c r="L521" i="12"/>
  <c r="L581" i="9" s="1"/>
  <c r="K521" i="12"/>
  <c r="K581" i="9" s="1"/>
  <c r="I521" i="12"/>
  <c r="I581" i="9" s="1"/>
  <c r="H521" i="12"/>
  <c r="H581" i="9" s="1"/>
  <c r="J520" i="12"/>
  <c r="J580" i="9" s="1"/>
  <c r="I520" i="12"/>
  <c r="I580" i="9" s="1"/>
  <c r="H520" i="12"/>
  <c r="H580" i="9" s="1"/>
  <c r="G519" i="12"/>
  <c r="G579" i="9" s="1"/>
  <c r="Q518" i="12"/>
  <c r="Q578" i="9" s="1"/>
  <c r="P518" i="12"/>
  <c r="P578" i="9" s="1"/>
  <c r="O518" i="12"/>
  <c r="O578" i="9" s="1"/>
  <c r="N518" i="12"/>
  <c r="N578" i="9" s="1"/>
  <c r="M518" i="12"/>
  <c r="M578" i="9" s="1"/>
  <c r="L518" i="12"/>
  <c r="L578" i="9" s="1"/>
  <c r="K518" i="12"/>
  <c r="K578" i="9" s="1"/>
  <c r="J518" i="12"/>
  <c r="J578" i="9" s="1"/>
  <c r="I518" i="12"/>
  <c r="I578" i="9" s="1"/>
  <c r="H518" i="12"/>
  <c r="H578" i="9" s="1"/>
  <c r="E518" i="12"/>
  <c r="E578" i="9" s="1"/>
  <c r="P517" i="12"/>
  <c r="P577" i="9" s="1"/>
  <c r="O517" i="12"/>
  <c r="O577" i="9" s="1"/>
  <c r="N517" i="12"/>
  <c r="N577" i="9" s="1"/>
  <c r="M517" i="12"/>
  <c r="M577" i="9" s="1"/>
  <c r="L517" i="12"/>
  <c r="L577" i="9" s="1"/>
  <c r="K517" i="12"/>
  <c r="K577" i="9" s="1"/>
  <c r="J517" i="12"/>
  <c r="J577" i="9" s="1"/>
  <c r="H517" i="12"/>
  <c r="H577" i="9" s="1"/>
  <c r="Q516" i="12"/>
  <c r="Q576" i="9" s="1"/>
  <c r="N516" i="12"/>
  <c r="J516" i="12"/>
  <c r="I516" i="12"/>
  <c r="I576" i="9" s="1"/>
  <c r="H516" i="12"/>
  <c r="H576" i="9" s="1"/>
  <c r="P515" i="12"/>
  <c r="O515" i="12"/>
  <c r="M515" i="12"/>
  <c r="M575" i="9" s="1"/>
  <c r="L515" i="12"/>
  <c r="L575" i="9" s="1"/>
  <c r="K515" i="12"/>
  <c r="K575" i="9" s="1"/>
  <c r="J515" i="12"/>
  <c r="J575" i="9" s="1"/>
  <c r="D515" i="12"/>
  <c r="D575" i="9" s="1"/>
  <c r="C515" i="12"/>
  <c r="C575" i="9" s="1"/>
  <c r="O514" i="12"/>
  <c r="O574" i="9" s="1"/>
  <c r="N511" i="12"/>
  <c r="J511" i="12"/>
  <c r="I511" i="12"/>
  <c r="I561" i="9" s="1"/>
  <c r="H511" i="12"/>
  <c r="H561" i="9" s="1"/>
  <c r="N510" i="12"/>
  <c r="N560" i="9" s="1"/>
  <c r="K510" i="12"/>
  <c r="I510" i="12"/>
  <c r="I560" i="9" s="1"/>
  <c r="H510" i="12"/>
  <c r="H560" i="9" s="1"/>
  <c r="N509" i="12"/>
  <c r="N559" i="9" s="1"/>
  <c r="J509" i="12"/>
  <c r="J559" i="9" s="1"/>
  <c r="I509" i="12"/>
  <c r="I559" i="9" s="1"/>
  <c r="H509" i="12"/>
  <c r="H559" i="9" s="1"/>
  <c r="G509" i="12"/>
  <c r="G559" i="9" s="1"/>
  <c r="Q508" i="12"/>
  <c r="Q558" i="9" s="1"/>
  <c r="P508" i="12"/>
  <c r="P558" i="9" s="1"/>
  <c r="O508" i="12"/>
  <c r="O558" i="9" s="1"/>
  <c r="M508" i="12"/>
  <c r="M558" i="9" s="1"/>
  <c r="L508" i="12"/>
  <c r="Q507" i="12"/>
  <c r="Q557" i="9" s="1"/>
  <c r="L507" i="12"/>
  <c r="N506" i="12"/>
  <c r="N556" i="9" s="1"/>
  <c r="J506" i="12"/>
  <c r="J556" i="9" s="1"/>
  <c r="I506" i="12"/>
  <c r="I556" i="9" s="1"/>
  <c r="H506" i="12"/>
  <c r="H556" i="9" s="1"/>
  <c r="N505" i="12"/>
  <c r="N555" i="9" s="1"/>
  <c r="K505" i="12"/>
  <c r="J505" i="12"/>
  <c r="I505" i="12"/>
  <c r="I555" i="9" s="1"/>
  <c r="N504" i="12"/>
  <c r="J504" i="12"/>
  <c r="I504" i="12"/>
  <c r="I554" i="9" s="1"/>
  <c r="H504" i="12"/>
  <c r="H554" i="9" s="1"/>
  <c r="Q503" i="12"/>
  <c r="P503" i="12"/>
  <c r="O503" i="12"/>
  <c r="M503" i="12"/>
  <c r="M553" i="9" s="1"/>
  <c r="L503" i="12"/>
  <c r="E502" i="12"/>
  <c r="E552" i="9" s="1"/>
  <c r="D502" i="12"/>
  <c r="D552" i="9" s="1"/>
  <c r="N501" i="12"/>
  <c r="N551" i="9" s="1"/>
  <c r="J501" i="12"/>
  <c r="J551" i="9" s="1"/>
  <c r="I501" i="12"/>
  <c r="I551" i="9" s="1"/>
  <c r="H501" i="12"/>
  <c r="H551" i="9" s="1"/>
  <c r="N500" i="12"/>
  <c r="N550" i="9" s="1"/>
  <c r="K500" i="12"/>
  <c r="J500" i="12"/>
  <c r="I500" i="12"/>
  <c r="I550" i="9" s="1"/>
  <c r="N499" i="12"/>
  <c r="J499" i="12"/>
  <c r="I499" i="12"/>
  <c r="I549" i="9" s="1"/>
  <c r="H499" i="12"/>
  <c r="H549" i="9" s="1"/>
  <c r="Q498" i="12"/>
  <c r="P498" i="12"/>
  <c r="O498" i="12"/>
  <c r="M498" i="12"/>
  <c r="M548" i="9" s="1"/>
  <c r="L498" i="12"/>
  <c r="M497" i="12"/>
  <c r="M547" i="9" s="1"/>
  <c r="E497" i="12"/>
  <c r="D497" i="12"/>
  <c r="D547" i="9" s="1"/>
  <c r="N496" i="12"/>
  <c r="N546" i="9" s="1"/>
  <c r="J496" i="12"/>
  <c r="J546" i="9" s="1"/>
  <c r="I496" i="12"/>
  <c r="I546" i="9" s="1"/>
  <c r="H496" i="12"/>
  <c r="H546" i="9" s="1"/>
  <c r="N495" i="12"/>
  <c r="N545" i="9" s="1"/>
  <c r="L495" i="12"/>
  <c r="K495" i="12"/>
  <c r="N494" i="12"/>
  <c r="N544" i="9" s="1"/>
  <c r="J494" i="12"/>
  <c r="I494" i="12"/>
  <c r="I544" i="9" s="1"/>
  <c r="H494" i="12"/>
  <c r="H544" i="9" s="1"/>
  <c r="G494" i="12"/>
  <c r="G544" i="9" s="1"/>
  <c r="Q493" i="12"/>
  <c r="P493" i="12"/>
  <c r="P543" i="9" s="1"/>
  <c r="O493" i="12"/>
  <c r="O543" i="9" s="1"/>
  <c r="N493" i="12"/>
  <c r="N543" i="9" s="1"/>
  <c r="M493" i="12"/>
  <c r="P492" i="12"/>
  <c r="P542" i="9" s="1"/>
  <c r="E492" i="12"/>
  <c r="E542" i="9" s="1"/>
  <c r="D492" i="12"/>
  <c r="N491" i="12"/>
  <c r="N541" i="9" s="1"/>
  <c r="J491" i="12"/>
  <c r="I491" i="12"/>
  <c r="I541" i="9" s="1"/>
  <c r="H491" i="12"/>
  <c r="H541" i="9" s="1"/>
  <c r="N490" i="12"/>
  <c r="N540" i="9" s="1"/>
  <c r="L490" i="12"/>
  <c r="K490" i="12"/>
  <c r="H490" i="12"/>
  <c r="H540" i="9" s="1"/>
  <c r="N489" i="12"/>
  <c r="N539" i="9" s="1"/>
  <c r="J489" i="12"/>
  <c r="J539" i="9" s="1"/>
  <c r="I489" i="12"/>
  <c r="I539" i="9" s="1"/>
  <c r="H489" i="12"/>
  <c r="H539" i="9" s="1"/>
  <c r="Q488" i="12"/>
  <c r="P488" i="12"/>
  <c r="P538" i="9" s="1"/>
  <c r="O488" i="12"/>
  <c r="O538" i="9" s="1"/>
  <c r="M488" i="12"/>
  <c r="M538" i="9" s="1"/>
  <c r="P487" i="12"/>
  <c r="P537" i="9" s="1"/>
  <c r="M487" i="12"/>
  <c r="M537" i="9" s="1"/>
  <c r="E487" i="12"/>
  <c r="E537" i="9" s="1"/>
  <c r="D487" i="12"/>
  <c r="D537" i="9" s="1"/>
  <c r="N485" i="12"/>
  <c r="K485" i="12"/>
  <c r="K535" i="9" s="1"/>
  <c r="I485" i="12"/>
  <c r="I535" i="9" s="1"/>
  <c r="N484" i="12"/>
  <c r="N534" i="9" s="1"/>
  <c r="J484" i="12"/>
  <c r="I484" i="12"/>
  <c r="I534" i="9" s="1"/>
  <c r="H484" i="12"/>
  <c r="H534" i="9" s="1"/>
  <c r="N483" i="12"/>
  <c r="N533" i="9" s="1"/>
  <c r="J483" i="12"/>
  <c r="J533" i="9" s="1"/>
  <c r="I483" i="12"/>
  <c r="I533" i="9" s="1"/>
  <c r="H483" i="12"/>
  <c r="H533" i="9" s="1"/>
  <c r="G483" i="12"/>
  <c r="G533" i="9" s="1"/>
  <c r="Q482" i="12"/>
  <c r="P482" i="12"/>
  <c r="P532" i="9" s="1"/>
  <c r="O482" i="12"/>
  <c r="O532" i="9" s="1"/>
  <c r="M482" i="12"/>
  <c r="M532" i="9" s="1"/>
  <c r="L482" i="12"/>
  <c r="P481" i="12"/>
  <c r="P531" i="9" s="1"/>
  <c r="L481" i="12"/>
  <c r="E481" i="12"/>
  <c r="E531" i="9" s="1"/>
  <c r="D481" i="12"/>
  <c r="D531" i="9" s="1"/>
  <c r="N480" i="12"/>
  <c r="K480" i="12"/>
  <c r="K530" i="9" s="1"/>
  <c r="J480" i="12"/>
  <c r="J530" i="9" s="1"/>
  <c r="I480" i="12"/>
  <c r="I530" i="9" s="1"/>
  <c r="N479" i="12"/>
  <c r="N529" i="9" s="1"/>
  <c r="J479" i="12"/>
  <c r="I479" i="12"/>
  <c r="I529" i="9" s="1"/>
  <c r="H479" i="12"/>
  <c r="H529" i="9" s="1"/>
  <c r="N478" i="12"/>
  <c r="N528" i="9" s="1"/>
  <c r="J478" i="12"/>
  <c r="J528" i="9" s="1"/>
  <c r="I478" i="12"/>
  <c r="I528" i="9" s="1"/>
  <c r="H478" i="12"/>
  <c r="H528" i="9" s="1"/>
  <c r="G478" i="12"/>
  <c r="G528" i="9" s="1"/>
  <c r="Q477" i="12"/>
  <c r="P477" i="12"/>
  <c r="P527" i="9" s="1"/>
  <c r="O477" i="12"/>
  <c r="O527" i="9" s="1"/>
  <c r="M477" i="12"/>
  <c r="M527" i="9" s="1"/>
  <c r="L477" i="12"/>
  <c r="P476" i="12"/>
  <c r="P526" i="9" s="1"/>
  <c r="E476" i="12"/>
  <c r="E526" i="9" s="1"/>
  <c r="D476" i="12"/>
  <c r="D526" i="9" s="1"/>
  <c r="N475" i="12"/>
  <c r="K475" i="12"/>
  <c r="K525" i="9" s="1"/>
  <c r="I475" i="12"/>
  <c r="I525" i="9" s="1"/>
  <c r="N474" i="12"/>
  <c r="N524" i="9" s="1"/>
  <c r="J474" i="12"/>
  <c r="I474" i="12"/>
  <c r="I524" i="9" s="1"/>
  <c r="H474" i="12"/>
  <c r="H524" i="9" s="1"/>
  <c r="N473" i="12"/>
  <c r="N523" i="9" s="1"/>
  <c r="J473" i="12"/>
  <c r="J523" i="9" s="1"/>
  <c r="I473" i="12"/>
  <c r="I523" i="9" s="1"/>
  <c r="H473" i="12"/>
  <c r="H523" i="9" s="1"/>
  <c r="Q472" i="12"/>
  <c r="Q522" i="9" s="1"/>
  <c r="P472" i="12"/>
  <c r="P522" i="9" s="1"/>
  <c r="O472" i="12"/>
  <c r="O522" i="9" s="1"/>
  <c r="M472" i="12"/>
  <c r="M522" i="9" s="1"/>
  <c r="L472" i="12"/>
  <c r="L471" i="12" s="1"/>
  <c r="L521" i="9" s="1"/>
  <c r="Q471" i="12"/>
  <c r="Q521" i="9" s="1"/>
  <c r="P471" i="12"/>
  <c r="O471" i="12"/>
  <c r="O521" i="9" s="1"/>
  <c r="M471" i="12"/>
  <c r="M521" i="9" s="1"/>
  <c r="E471" i="12"/>
  <c r="E521" i="9" s="1"/>
  <c r="D471" i="12"/>
  <c r="D521" i="9" s="1"/>
  <c r="N470" i="12"/>
  <c r="K470" i="12"/>
  <c r="K520" i="9" s="1"/>
  <c r="J470" i="12"/>
  <c r="J520" i="9" s="1"/>
  <c r="I470" i="12"/>
  <c r="I520" i="9" s="1"/>
  <c r="N469" i="12"/>
  <c r="N519" i="9" s="1"/>
  <c r="J469" i="12"/>
  <c r="I469" i="12"/>
  <c r="I519" i="9" s="1"/>
  <c r="H469" i="12"/>
  <c r="H519" i="9" s="1"/>
  <c r="N468" i="12"/>
  <c r="N518" i="9" s="1"/>
  <c r="J468" i="12"/>
  <c r="J518" i="9" s="1"/>
  <c r="I468" i="12"/>
  <c r="I518" i="9" s="1"/>
  <c r="H468" i="12"/>
  <c r="H518" i="9" s="1"/>
  <c r="Q467" i="12"/>
  <c r="Q517" i="9" s="1"/>
  <c r="P467" i="12"/>
  <c r="P517" i="9" s="1"/>
  <c r="O467" i="12"/>
  <c r="O517" i="9" s="1"/>
  <c r="M467" i="12"/>
  <c r="M517" i="9" s="1"/>
  <c r="L467" i="12"/>
  <c r="O466" i="12"/>
  <c r="O516" i="9" s="1"/>
  <c r="M466" i="12"/>
  <c r="M516" i="9" s="1"/>
  <c r="L466" i="12"/>
  <c r="E466" i="12"/>
  <c r="E516" i="9" s="1"/>
  <c r="D466" i="12"/>
  <c r="D516" i="9" s="1"/>
  <c r="N465" i="12"/>
  <c r="K465" i="12"/>
  <c r="I465" i="12"/>
  <c r="I515" i="9" s="1"/>
  <c r="N464" i="12"/>
  <c r="N514" i="9" s="1"/>
  <c r="J464" i="12"/>
  <c r="I464" i="12"/>
  <c r="I514" i="9" s="1"/>
  <c r="H464" i="12"/>
  <c r="H514" i="9" s="1"/>
  <c r="N463" i="12"/>
  <c r="N513" i="9" s="1"/>
  <c r="J463" i="12"/>
  <c r="J513" i="9" s="1"/>
  <c r="I463" i="12"/>
  <c r="I513" i="9" s="1"/>
  <c r="H463" i="12"/>
  <c r="H513" i="9" s="1"/>
  <c r="Q462" i="12"/>
  <c r="P462" i="12"/>
  <c r="P512" i="9" s="1"/>
  <c r="O462" i="12"/>
  <c r="O512" i="9" s="1"/>
  <c r="M462" i="12"/>
  <c r="M512" i="9" s="1"/>
  <c r="L462" i="12"/>
  <c r="M461" i="12"/>
  <c r="M511" i="9" s="1"/>
  <c r="E461" i="12"/>
  <c r="E511" i="9" s="1"/>
  <c r="D461" i="12"/>
  <c r="D511" i="9" s="1"/>
  <c r="N460" i="12"/>
  <c r="K460" i="12"/>
  <c r="K510" i="9" s="1"/>
  <c r="I460" i="12"/>
  <c r="I510" i="9" s="1"/>
  <c r="N459" i="12"/>
  <c r="N509" i="9" s="1"/>
  <c r="J459" i="12"/>
  <c r="I459" i="12"/>
  <c r="I509" i="9" s="1"/>
  <c r="H459" i="12"/>
  <c r="H509" i="9" s="1"/>
  <c r="N458" i="12"/>
  <c r="N508" i="9" s="1"/>
  <c r="J458" i="12"/>
  <c r="J508" i="9" s="1"/>
  <c r="I458" i="12"/>
  <c r="I508" i="9" s="1"/>
  <c r="H458" i="12"/>
  <c r="H508" i="9" s="1"/>
  <c r="Q457" i="12"/>
  <c r="Q507" i="9" s="1"/>
  <c r="P457" i="12"/>
  <c r="P507" i="9" s="1"/>
  <c r="O457" i="12"/>
  <c r="O507" i="9" s="1"/>
  <c r="M457" i="12"/>
  <c r="M507" i="9" s="1"/>
  <c r="L457" i="12"/>
  <c r="Q456" i="12"/>
  <c r="Q506" i="9" s="1"/>
  <c r="P456" i="12"/>
  <c r="P506" i="9" s="1"/>
  <c r="L456" i="12"/>
  <c r="E456" i="12"/>
  <c r="E506" i="9" s="1"/>
  <c r="D456" i="12"/>
  <c r="D506" i="9" s="1"/>
  <c r="Q452" i="12"/>
  <c r="Q491" i="9" s="1"/>
  <c r="P452" i="12"/>
  <c r="P491" i="9" s="1"/>
  <c r="O452" i="12"/>
  <c r="O491" i="9" s="1"/>
  <c r="M452" i="12"/>
  <c r="M491" i="9" s="1"/>
  <c r="L452" i="12"/>
  <c r="L491" i="9" s="1"/>
  <c r="K452" i="12"/>
  <c r="K491" i="9" s="1"/>
  <c r="J452" i="12"/>
  <c r="J491" i="9" s="1"/>
  <c r="N451" i="12"/>
  <c r="I451" i="12"/>
  <c r="H451" i="12"/>
  <c r="H490" i="9" s="1"/>
  <c r="Q450" i="12"/>
  <c r="Q489" i="9" s="1"/>
  <c r="P450" i="12"/>
  <c r="P489" i="9" s="1"/>
  <c r="O450" i="12"/>
  <c r="O489" i="9" s="1"/>
  <c r="M450" i="12"/>
  <c r="M489" i="9" s="1"/>
  <c r="L450" i="12"/>
  <c r="L489" i="9" s="1"/>
  <c r="K450" i="12"/>
  <c r="J450" i="12"/>
  <c r="J489" i="9" s="1"/>
  <c r="E450" i="12"/>
  <c r="E489" i="9" s="1"/>
  <c r="D450" i="12"/>
  <c r="D489" i="9" s="1"/>
  <c r="C450" i="12"/>
  <c r="C489" i="9" s="1"/>
  <c r="Q449" i="12"/>
  <c r="Q488" i="9" s="1"/>
  <c r="E449" i="12"/>
  <c r="E488" i="9" s="1"/>
  <c r="D449" i="12"/>
  <c r="D488" i="9" s="1"/>
  <c r="Q448" i="12"/>
  <c r="Q487" i="9" s="1"/>
  <c r="P448" i="12"/>
  <c r="P487" i="9" s="1"/>
  <c r="O448" i="12"/>
  <c r="O487" i="9" s="1"/>
  <c r="M448" i="12"/>
  <c r="M487" i="9" s="1"/>
  <c r="L448" i="12"/>
  <c r="L487" i="9" s="1"/>
  <c r="K448" i="12"/>
  <c r="K487" i="9" s="1"/>
  <c r="N447" i="12"/>
  <c r="J447" i="12"/>
  <c r="J446" i="12" s="1"/>
  <c r="J485" i="9" s="1"/>
  <c r="I447" i="12"/>
  <c r="H447" i="12"/>
  <c r="G447" i="12"/>
  <c r="Q446" i="12"/>
  <c r="Q485" i="9" s="1"/>
  <c r="P446" i="12"/>
  <c r="P485" i="9" s="1"/>
  <c r="O446" i="12"/>
  <c r="M446" i="12"/>
  <c r="M485" i="9" s="1"/>
  <c r="L446" i="12"/>
  <c r="L485" i="9" s="1"/>
  <c r="K446" i="12"/>
  <c r="K485" i="9" s="1"/>
  <c r="E446" i="12"/>
  <c r="E485" i="9" s="1"/>
  <c r="D446" i="12"/>
  <c r="D485" i="9" s="1"/>
  <c r="C446" i="12"/>
  <c r="C485" i="9" s="1"/>
  <c r="Q445" i="12"/>
  <c r="Q484" i="9" s="1"/>
  <c r="P445" i="12"/>
  <c r="P484" i="9" s="1"/>
  <c r="O445" i="12"/>
  <c r="O484" i="9" s="1"/>
  <c r="M445" i="12"/>
  <c r="M484" i="9" s="1"/>
  <c r="L445" i="12"/>
  <c r="L484" i="9" s="1"/>
  <c r="K445" i="12"/>
  <c r="K484" i="9" s="1"/>
  <c r="H445" i="12"/>
  <c r="H484" i="9" s="1"/>
  <c r="N444" i="12"/>
  <c r="N483" i="9" s="1"/>
  <c r="J444" i="12"/>
  <c r="J483" i="9" s="1"/>
  <c r="I444" i="12"/>
  <c r="H444" i="12"/>
  <c r="H483" i="9" s="1"/>
  <c r="Q443" i="12"/>
  <c r="P443" i="12"/>
  <c r="O443" i="12"/>
  <c r="O482" i="9" s="1"/>
  <c r="M443" i="12"/>
  <c r="M482" i="9" s="1"/>
  <c r="L443" i="12"/>
  <c r="K443" i="12"/>
  <c r="H443" i="12"/>
  <c r="H482" i="9" s="1"/>
  <c r="E443" i="12"/>
  <c r="D443" i="12"/>
  <c r="D482" i="9" s="1"/>
  <c r="C443" i="12"/>
  <c r="Q442" i="12"/>
  <c r="Q481" i="9" s="1"/>
  <c r="P442" i="12"/>
  <c r="P481" i="9" s="1"/>
  <c r="O442" i="12"/>
  <c r="O481" i="9" s="1"/>
  <c r="M442" i="12"/>
  <c r="M481" i="9" s="1"/>
  <c r="L442" i="12"/>
  <c r="L481" i="9" s="1"/>
  <c r="K442" i="12"/>
  <c r="K481" i="9" s="1"/>
  <c r="J442" i="12"/>
  <c r="J481" i="9" s="1"/>
  <c r="N441" i="12"/>
  <c r="N480" i="9" s="1"/>
  <c r="J441" i="12"/>
  <c r="J480" i="9" s="1"/>
  <c r="I441" i="12"/>
  <c r="H441" i="12"/>
  <c r="Q440" i="12"/>
  <c r="Q479" i="9" s="1"/>
  <c r="P440" i="12"/>
  <c r="P479" i="9" s="1"/>
  <c r="O440" i="12"/>
  <c r="O479" i="9" s="1"/>
  <c r="M440" i="12"/>
  <c r="M479" i="9" s="1"/>
  <c r="L440" i="12"/>
  <c r="L479" i="9" s="1"/>
  <c r="K440" i="12"/>
  <c r="K479" i="9" s="1"/>
  <c r="J440" i="12"/>
  <c r="J479" i="9" s="1"/>
  <c r="I440" i="12"/>
  <c r="I479" i="9" s="1"/>
  <c r="E440" i="12"/>
  <c r="E479" i="9" s="1"/>
  <c r="D440" i="12"/>
  <c r="D479" i="9" s="1"/>
  <c r="C440" i="12"/>
  <c r="C479" i="9" s="1"/>
  <c r="D439" i="12"/>
  <c r="D478" i="9" s="1"/>
  <c r="Q438" i="12"/>
  <c r="Q477" i="9" s="1"/>
  <c r="P438" i="12"/>
  <c r="P477" i="9" s="1"/>
  <c r="O438" i="12"/>
  <c r="M438" i="12"/>
  <c r="L438" i="12"/>
  <c r="J438" i="12"/>
  <c r="J477" i="9" s="1"/>
  <c r="N436" i="12"/>
  <c r="N475" i="9" s="1"/>
  <c r="K436" i="12"/>
  <c r="K475" i="9" s="1"/>
  <c r="I436" i="12"/>
  <c r="I475" i="9" s="1"/>
  <c r="Q435" i="12"/>
  <c r="Q474" i="9" s="1"/>
  <c r="P435" i="12"/>
  <c r="P474" i="9" s="1"/>
  <c r="O435" i="12"/>
  <c r="O474" i="9" s="1"/>
  <c r="M435" i="12"/>
  <c r="L435" i="12"/>
  <c r="L474" i="9" s="1"/>
  <c r="J435" i="12"/>
  <c r="J474" i="9" s="1"/>
  <c r="I435" i="12"/>
  <c r="I474" i="9" s="1"/>
  <c r="E435" i="12"/>
  <c r="C435" i="12"/>
  <c r="C474" i="9" s="1"/>
  <c r="Q434" i="12"/>
  <c r="O434" i="12"/>
  <c r="O473" i="9" s="1"/>
  <c r="N434" i="12"/>
  <c r="N473" i="9" s="1"/>
  <c r="M434" i="12"/>
  <c r="M473" i="9" s="1"/>
  <c r="L434" i="12"/>
  <c r="I434" i="12" s="1"/>
  <c r="I473" i="9" s="1"/>
  <c r="J434" i="12"/>
  <c r="J473" i="9" s="1"/>
  <c r="N433" i="12"/>
  <c r="N472" i="9" s="1"/>
  <c r="P432" i="12"/>
  <c r="O432" i="12"/>
  <c r="K432" i="12"/>
  <c r="K471" i="9" s="1"/>
  <c r="Q431" i="12"/>
  <c r="Q470" i="9" s="1"/>
  <c r="M431" i="12"/>
  <c r="M470" i="9" s="1"/>
  <c r="L431" i="12"/>
  <c r="L470" i="9" s="1"/>
  <c r="J431" i="12"/>
  <c r="J470" i="9" s="1"/>
  <c r="E431" i="12"/>
  <c r="E470" i="9" s="1"/>
  <c r="C431" i="12"/>
  <c r="Q430" i="12"/>
  <c r="Q469" i="9" s="1"/>
  <c r="N429" i="12"/>
  <c r="N468" i="9" s="1"/>
  <c r="J429" i="12"/>
  <c r="I429" i="12"/>
  <c r="I468" i="9" s="1"/>
  <c r="H429" i="12"/>
  <c r="H468" i="9" s="1"/>
  <c r="Q428" i="12"/>
  <c r="P428" i="12"/>
  <c r="O428" i="12"/>
  <c r="O467" i="9" s="1"/>
  <c r="N428" i="12"/>
  <c r="M428" i="12"/>
  <c r="L428" i="12"/>
  <c r="K428" i="12"/>
  <c r="K467" i="9" s="1"/>
  <c r="J428" i="12"/>
  <c r="J427" i="12" s="1"/>
  <c r="J466" i="9" s="1"/>
  <c r="H428" i="12"/>
  <c r="H467" i="9" s="1"/>
  <c r="K427" i="12"/>
  <c r="E427" i="12"/>
  <c r="E466" i="9" s="1"/>
  <c r="D427" i="12"/>
  <c r="D466" i="9" s="1"/>
  <c r="C427" i="12"/>
  <c r="C466" i="9" s="1"/>
  <c r="N426" i="12"/>
  <c r="N465" i="9" s="1"/>
  <c r="J426" i="12"/>
  <c r="J465" i="9" s="1"/>
  <c r="I426" i="12"/>
  <c r="I465" i="9" s="1"/>
  <c r="H426" i="12"/>
  <c r="H465" i="9" s="1"/>
  <c r="N425" i="12"/>
  <c r="N464" i="9" s="1"/>
  <c r="L425" i="12"/>
  <c r="K425" i="12"/>
  <c r="K464" i="9" s="1"/>
  <c r="N424" i="12"/>
  <c r="N463" i="9" s="1"/>
  <c r="J424" i="12"/>
  <c r="I424" i="12"/>
  <c r="I463" i="9" s="1"/>
  <c r="H424" i="12"/>
  <c r="H463" i="9" s="1"/>
  <c r="Q423" i="12"/>
  <c r="Q462" i="9" s="1"/>
  <c r="P423" i="12"/>
  <c r="P462" i="9" s="1"/>
  <c r="O423" i="12"/>
  <c r="O462" i="9" s="1"/>
  <c r="M423" i="12"/>
  <c r="M462" i="9" s="1"/>
  <c r="N422" i="12"/>
  <c r="N461" i="9" s="1"/>
  <c r="K422" i="12"/>
  <c r="J422" i="12"/>
  <c r="J461" i="9" s="1"/>
  <c r="I422" i="12"/>
  <c r="I461" i="9" s="1"/>
  <c r="N421" i="12"/>
  <c r="K421" i="12"/>
  <c r="K460" i="9" s="1"/>
  <c r="I421" i="12"/>
  <c r="I460" i="9" s="1"/>
  <c r="N420" i="12"/>
  <c r="N459" i="9" s="1"/>
  <c r="J420" i="12"/>
  <c r="J459" i="9" s="1"/>
  <c r="I420" i="12"/>
  <c r="I459" i="9" s="1"/>
  <c r="H420" i="12"/>
  <c r="H459" i="9" s="1"/>
  <c r="G420" i="12"/>
  <c r="G459" i="9" s="1"/>
  <c r="Q419" i="12"/>
  <c r="P419" i="12"/>
  <c r="P458" i="9" s="1"/>
  <c r="O419" i="12"/>
  <c r="M419" i="12"/>
  <c r="M458" i="9" s="1"/>
  <c r="L419" i="12"/>
  <c r="L458" i="9" s="1"/>
  <c r="E418" i="12"/>
  <c r="E457" i="9" s="1"/>
  <c r="D418" i="12"/>
  <c r="D457" i="9" s="1"/>
  <c r="N417" i="12"/>
  <c r="N456" i="9" s="1"/>
  <c r="J417" i="12"/>
  <c r="I417" i="12"/>
  <c r="I456" i="9" s="1"/>
  <c r="H417" i="12"/>
  <c r="H456" i="9" s="1"/>
  <c r="G417" i="12"/>
  <c r="Q416" i="12"/>
  <c r="P416" i="12"/>
  <c r="O416" i="12"/>
  <c r="O455" i="9" s="1"/>
  <c r="N416" i="12"/>
  <c r="N455" i="9" s="1"/>
  <c r="M416" i="12"/>
  <c r="M455" i="9" s="1"/>
  <c r="L416" i="12"/>
  <c r="L455" i="9" s="1"/>
  <c r="K416" i="12"/>
  <c r="N415" i="12"/>
  <c r="N454" i="9" s="1"/>
  <c r="K415" i="12"/>
  <c r="K454" i="9" s="1"/>
  <c r="I415" i="12"/>
  <c r="I454" i="9" s="1"/>
  <c r="N414" i="12"/>
  <c r="N453" i="9" s="1"/>
  <c r="L414" i="12"/>
  <c r="K414" i="12"/>
  <c r="I414" i="12"/>
  <c r="I453" i="9" s="1"/>
  <c r="N413" i="12"/>
  <c r="N452" i="9" s="1"/>
  <c r="J413" i="12"/>
  <c r="J452" i="9" s="1"/>
  <c r="I413" i="12"/>
  <c r="I452" i="9" s="1"/>
  <c r="H413" i="12"/>
  <c r="H452" i="9" s="1"/>
  <c r="N412" i="12"/>
  <c r="N451" i="9" s="1"/>
  <c r="J412" i="12"/>
  <c r="I412" i="12"/>
  <c r="I451" i="9" s="1"/>
  <c r="H412" i="12"/>
  <c r="H451" i="9" s="1"/>
  <c r="Q411" i="12"/>
  <c r="Q450" i="9" s="1"/>
  <c r="P411" i="12"/>
  <c r="P450" i="9" s="1"/>
  <c r="O411" i="12"/>
  <c r="O450" i="9" s="1"/>
  <c r="M411" i="12"/>
  <c r="O410" i="12"/>
  <c r="O449" i="9" s="1"/>
  <c r="N409" i="12"/>
  <c r="N448" i="9" s="1"/>
  <c r="J409" i="12"/>
  <c r="J448" i="9" s="1"/>
  <c r="I409" i="12"/>
  <c r="I448" i="9" s="1"/>
  <c r="H409" i="12"/>
  <c r="H448" i="9" s="1"/>
  <c r="N408" i="12"/>
  <c r="J408" i="12"/>
  <c r="J447" i="9" s="1"/>
  <c r="I408" i="12"/>
  <c r="I447" i="9" s="1"/>
  <c r="H408" i="12"/>
  <c r="H447" i="9" s="1"/>
  <c r="Q407" i="12"/>
  <c r="Q446" i="9" s="1"/>
  <c r="P407" i="12"/>
  <c r="P446" i="9" s="1"/>
  <c r="O407" i="12"/>
  <c r="M407" i="12"/>
  <c r="M446" i="9" s="1"/>
  <c r="L407" i="12"/>
  <c r="L446" i="9" s="1"/>
  <c r="K407" i="12"/>
  <c r="H407" i="12" s="1"/>
  <c r="H446" i="9" s="1"/>
  <c r="J407" i="12"/>
  <c r="Q406" i="12"/>
  <c r="Q445" i="9" s="1"/>
  <c r="E406" i="12"/>
  <c r="E445" i="9" s="1"/>
  <c r="C406" i="12"/>
  <c r="C445" i="9" s="1"/>
  <c r="P405" i="12"/>
  <c r="P444" i="9" s="1"/>
  <c r="O405" i="12"/>
  <c r="O444" i="9" s="1"/>
  <c r="J405" i="12"/>
  <c r="J444" i="9" s="1"/>
  <c r="I405" i="12"/>
  <c r="I444" i="9" s="1"/>
  <c r="N404" i="12"/>
  <c r="N443" i="9" s="1"/>
  <c r="J404" i="12"/>
  <c r="I404" i="12"/>
  <c r="I443" i="9" s="1"/>
  <c r="H404" i="12"/>
  <c r="H443" i="9" s="1"/>
  <c r="Q403" i="12"/>
  <c r="Q442" i="9" s="1"/>
  <c r="M403" i="12"/>
  <c r="M442" i="9" s="1"/>
  <c r="L403" i="12"/>
  <c r="K403" i="12"/>
  <c r="K442" i="9" s="1"/>
  <c r="N402" i="12"/>
  <c r="J402" i="12"/>
  <c r="J441" i="9" s="1"/>
  <c r="I402" i="12"/>
  <c r="I441" i="9" s="1"/>
  <c r="H402" i="12"/>
  <c r="H441" i="9" s="1"/>
  <c r="Q401" i="12"/>
  <c r="P401" i="12"/>
  <c r="P440" i="9" s="1"/>
  <c r="O401" i="12"/>
  <c r="O440" i="9" s="1"/>
  <c r="M401" i="12"/>
  <c r="L401" i="12"/>
  <c r="L440" i="9" s="1"/>
  <c r="K401" i="12"/>
  <c r="K440" i="9" s="1"/>
  <c r="L400" i="12"/>
  <c r="L439" i="9" s="1"/>
  <c r="K400" i="12"/>
  <c r="K439" i="9" s="1"/>
  <c r="E400" i="12"/>
  <c r="E439" i="9" s="1"/>
  <c r="C400" i="12"/>
  <c r="C439" i="9" s="1"/>
  <c r="N399" i="12"/>
  <c r="N438" i="9" s="1"/>
  <c r="J399" i="12"/>
  <c r="J398" i="12" s="1"/>
  <c r="J437" i="9" s="1"/>
  <c r="I399" i="12"/>
  <c r="I438" i="9" s="1"/>
  <c r="H399" i="12"/>
  <c r="H438" i="9" s="1"/>
  <c r="Q398" i="12"/>
  <c r="Q437" i="9" s="1"/>
  <c r="P398" i="12"/>
  <c r="P437" i="9" s="1"/>
  <c r="O398" i="12"/>
  <c r="M398" i="12"/>
  <c r="M437" i="9" s="1"/>
  <c r="L398" i="12"/>
  <c r="K398" i="12"/>
  <c r="Q397" i="12"/>
  <c r="Q436" i="9" s="1"/>
  <c r="M397" i="12"/>
  <c r="M436" i="9" s="1"/>
  <c r="E397" i="12"/>
  <c r="E436" i="9" s="1"/>
  <c r="D397" i="12"/>
  <c r="D436" i="9" s="1"/>
  <c r="C397" i="12"/>
  <c r="C436" i="9" s="1"/>
  <c r="N396" i="12"/>
  <c r="N435" i="9" s="1"/>
  <c r="J396" i="12"/>
  <c r="J435" i="9" s="1"/>
  <c r="I396" i="12"/>
  <c r="I435" i="9" s="1"/>
  <c r="H396" i="12"/>
  <c r="H435" i="9" s="1"/>
  <c r="N395" i="12"/>
  <c r="N434" i="9" s="1"/>
  <c r="J395" i="12"/>
  <c r="J434" i="9" s="1"/>
  <c r="I395" i="12"/>
  <c r="I434" i="9" s="1"/>
  <c r="H395" i="12"/>
  <c r="H434" i="9" s="1"/>
  <c r="G395" i="12"/>
  <c r="G434" i="9" s="1"/>
  <c r="Q394" i="12"/>
  <c r="P394" i="12"/>
  <c r="O394" i="12"/>
  <c r="O433" i="9" s="1"/>
  <c r="M394" i="12"/>
  <c r="L394" i="12"/>
  <c r="K394" i="12"/>
  <c r="K433" i="9" s="1"/>
  <c r="E393" i="12"/>
  <c r="E432" i="9" s="1"/>
  <c r="C393" i="12"/>
  <c r="C432" i="9" s="1"/>
  <c r="N391" i="12"/>
  <c r="N430" i="9" s="1"/>
  <c r="J391" i="12"/>
  <c r="I391" i="12"/>
  <c r="I430" i="9" s="1"/>
  <c r="H391" i="12"/>
  <c r="Q390" i="12"/>
  <c r="Q429" i="9" s="1"/>
  <c r="P390" i="12"/>
  <c r="P429" i="9" s="1"/>
  <c r="O390" i="12"/>
  <c r="O429" i="9" s="1"/>
  <c r="M390" i="12"/>
  <c r="M429" i="9" s="1"/>
  <c r="L390" i="12"/>
  <c r="L429" i="9" s="1"/>
  <c r="K390" i="12"/>
  <c r="K429" i="9" s="1"/>
  <c r="J390" i="12"/>
  <c r="J429" i="9" s="1"/>
  <c r="N389" i="12"/>
  <c r="N428" i="9" s="1"/>
  <c r="I389" i="12"/>
  <c r="H389" i="12"/>
  <c r="H428" i="9" s="1"/>
  <c r="Q388" i="12"/>
  <c r="Q427" i="9" s="1"/>
  <c r="P388" i="12"/>
  <c r="P427" i="9" s="1"/>
  <c r="O388" i="12"/>
  <c r="O427" i="9" s="1"/>
  <c r="M388" i="12"/>
  <c r="M427" i="9" s="1"/>
  <c r="L388" i="12"/>
  <c r="L427" i="9" s="1"/>
  <c r="K388" i="12"/>
  <c r="K427" i="9" s="1"/>
  <c r="J388" i="12"/>
  <c r="J427" i="9" s="1"/>
  <c r="E388" i="12"/>
  <c r="E427" i="9" s="1"/>
  <c r="C388" i="12"/>
  <c r="C427" i="9" s="1"/>
  <c r="N387" i="12"/>
  <c r="N426" i="9" s="1"/>
  <c r="J387" i="12"/>
  <c r="J426" i="9" s="1"/>
  <c r="I387" i="12"/>
  <c r="I426" i="9" s="1"/>
  <c r="H387" i="12"/>
  <c r="Q386" i="12"/>
  <c r="Q425" i="9" s="1"/>
  <c r="P386" i="12"/>
  <c r="P425" i="9" s="1"/>
  <c r="O386" i="12"/>
  <c r="O425" i="9" s="1"/>
  <c r="M386" i="12"/>
  <c r="M425" i="9" s="1"/>
  <c r="L386" i="12"/>
  <c r="L425" i="9" s="1"/>
  <c r="K386" i="12"/>
  <c r="K425" i="9" s="1"/>
  <c r="J386" i="12"/>
  <c r="J425" i="9" s="1"/>
  <c r="N385" i="12"/>
  <c r="I385" i="12"/>
  <c r="I424" i="9" s="1"/>
  <c r="H385" i="12"/>
  <c r="H424" i="9" s="1"/>
  <c r="Q384" i="12"/>
  <c r="Q423" i="9" s="1"/>
  <c r="P384" i="12"/>
  <c r="O384" i="12"/>
  <c r="N384" i="12"/>
  <c r="N423" i="9" s="1"/>
  <c r="M384" i="12"/>
  <c r="M423" i="9" s="1"/>
  <c r="L384" i="12"/>
  <c r="L423" i="9" s="1"/>
  <c r="K384" i="12"/>
  <c r="K423" i="9" s="1"/>
  <c r="J384" i="12"/>
  <c r="J423" i="9" s="1"/>
  <c r="E384" i="12"/>
  <c r="E423" i="9" s="1"/>
  <c r="C384" i="12"/>
  <c r="C423" i="9" s="1"/>
  <c r="N383" i="12"/>
  <c r="N422" i="9" s="1"/>
  <c r="J383" i="12"/>
  <c r="I383" i="12"/>
  <c r="I422" i="9" s="1"/>
  <c r="H383" i="12"/>
  <c r="Q382" i="12"/>
  <c r="Q421" i="9" s="1"/>
  <c r="P382" i="12"/>
  <c r="P421" i="9" s="1"/>
  <c r="O382" i="12"/>
  <c r="O421" i="9" s="1"/>
  <c r="M382" i="12"/>
  <c r="M421" i="9" s="1"/>
  <c r="L382" i="12"/>
  <c r="L421" i="9" s="1"/>
  <c r="K382" i="12"/>
  <c r="K421" i="9" s="1"/>
  <c r="J382" i="12"/>
  <c r="J421" i="9" s="1"/>
  <c r="N381" i="12"/>
  <c r="N420" i="9" s="1"/>
  <c r="I381" i="12"/>
  <c r="H381" i="12"/>
  <c r="H420" i="9" s="1"/>
  <c r="Q380" i="12"/>
  <c r="Q419" i="9" s="1"/>
  <c r="P380" i="12"/>
  <c r="P419" i="9" s="1"/>
  <c r="O380" i="12"/>
  <c r="O419" i="9" s="1"/>
  <c r="M380" i="12"/>
  <c r="M419" i="9" s="1"/>
  <c r="L380" i="12"/>
  <c r="L419" i="9" s="1"/>
  <c r="K380" i="12"/>
  <c r="K419" i="9" s="1"/>
  <c r="J380" i="12"/>
  <c r="J419" i="9" s="1"/>
  <c r="E380" i="12"/>
  <c r="E419" i="9" s="1"/>
  <c r="C380" i="12"/>
  <c r="C419" i="9" s="1"/>
  <c r="C379" i="12"/>
  <c r="C418" i="9" s="1"/>
  <c r="N378" i="12"/>
  <c r="N417" i="9" s="1"/>
  <c r="L378" i="12"/>
  <c r="L417" i="9" s="1"/>
  <c r="K378" i="12"/>
  <c r="J378" i="12"/>
  <c r="J417" i="9" s="1"/>
  <c r="Q377" i="12"/>
  <c r="Q416" i="9" s="1"/>
  <c r="P377" i="12"/>
  <c r="O377" i="12"/>
  <c r="O416" i="9" s="1"/>
  <c r="M377" i="12"/>
  <c r="M416" i="9" s="1"/>
  <c r="L377" i="12"/>
  <c r="L416" i="9" s="1"/>
  <c r="Q376" i="12"/>
  <c r="Q415" i="9" s="1"/>
  <c r="M376" i="12"/>
  <c r="E376" i="12"/>
  <c r="E415" i="9" s="1"/>
  <c r="D376" i="12"/>
  <c r="D415" i="9" s="1"/>
  <c r="C376" i="12"/>
  <c r="C415" i="9" s="1"/>
  <c r="O375" i="12"/>
  <c r="O414" i="9" s="1"/>
  <c r="N375" i="12"/>
  <c r="N414" i="9" s="1"/>
  <c r="J375" i="12"/>
  <c r="J414" i="9" s="1"/>
  <c r="I375" i="12"/>
  <c r="I414" i="9" s="1"/>
  <c r="H375" i="12"/>
  <c r="H414" i="9" s="1"/>
  <c r="G375" i="12"/>
  <c r="Q374" i="12"/>
  <c r="Q413" i="9" s="1"/>
  <c r="P374" i="12"/>
  <c r="P413" i="9" s="1"/>
  <c r="O374" i="12"/>
  <c r="O413" i="9" s="1"/>
  <c r="M374" i="12"/>
  <c r="M413" i="9" s="1"/>
  <c r="L374" i="12"/>
  <c r="L413" i="9" s="1"/>
  <c r="J374" i="12"/>
  <c r="J413" i="9" s="1"/>
  <c r="K373" i="12"/>
  <c r="K412" i="9" s="1"/>
  <c r="I373" i="12"/>
  <c r="Q372" i="12"/>
  <c r="P372" i="12"/>
  <c r="P411" i="9" s="1"/>
  <c r="M372" i="12"/>
  <c r="M411" i="9" s="1"/>
  <c r="L372" i="12"/>
  <c r="L411" i="9" s="1"/>
  <c r="J372" i="12"/>
  <c r="J411" i="9" s="1"/>
  <c r="E372" i="12"/>
  <c r="E411" i="9" s="1"/>
  <c r="C372" i="12"/>
  <c r="Q371" i="12"/>
  <c r="Q410" i="9" s="1"/>
  <c r="P371" i="12"/>
  <c r="P410" i="9" s="1"/>
  <c r="O371" i="12"/>
  <c r="O410" i="9" s="1"/>
  <c r="N371" i="12"/>
  <c r="N410" i="9" s="1"/>
  <c r="M371" i="12"/>
  <c r="M410" i="9" s="1"/>
  <c r="L371" i="12"/>
  <c r="L410" i="9" s="1"/>
  <c r="J371" i="12"/>
  <c r="J410" i="9" s="1"/>
  <c r="I371" i="12"/>
  <c r="I410" i="9" s="1"/>
  <c r="N370" i="12"/>
  <c r="K370" i="12"/>
  <c r="K409" i="9" s="1"/>
  <c r="I370" i="12"/>
  <c r="I409" i="9" s="1"/>
  <c r="Q369" i="12"/>
  <c r="Q408" i="9" s="1"/>
  <c r="P369" i="12"/>
  <c r="O369" i="12"/>
  <c r="O408" i="9" s="1"/>
  <c r="M369" i="12"/>
  <c r="M408" i="9" s="1"/>
  <c r="L369" i="12"/>
  <c r="L408" i="9" s="1"/>
  <c r="J369" i="12"/>
  <c r="J408" i="9" s="1"/>
  <c r="E369" i="12"/>
  <c r="E408" i="9" s="1"/>
  <c r="D369" i="12"/>
  <c r="C369" i="12"/>
  <c r="C408" i="9" s="1"/>
  <c r="N367" i="12"/>
  <c r="N406" i="9" s="1"/>
  <c r="J367" i="12"/>
  <c r="J406" i="9" s="1"/>
  <c r="I367" i="12"/>
  <c r="I406" i="9" s="1"/>
  <c r="H367" i="12"/>
  <c r="H406" i="9" s="1"/>
  <c r="Q366" i="12"/>
  <c r="Q405" i="9" s="1"/>
  <c r="P366" i="12"/>
  <c r="P405" i="9" s="1"/>
  <c r="O366" i="12"/>
  <c r="N366" i="12"/>
  <c r="N405" i="9" s="1"/>
  <c r="M366" i="12"/>
  <c r="M405" i="9" s="1"/>
  <c r="L366" i="12"/>
  <c r="L405" i="9" s="1"/>
  <c r="K366" i="12"/>
  <c r="K405" i="9" s="1"/>
  <c r="N365" i="12"/>
  <c r="N404" i="9" s="1"/>
  <c r="J365" i="12"/>
  <c r="J404" i="9" s="1"/>
  <c r="I365" i="12"/>
  <c r="I404" i="9" s="1"/>
  <c r="H365" i="12"/>
  <c r="H404" i="9" s="1"/>
  <c r="G365" i="12"/>
  <c r="Q364" i="12"/>
  <c r="Q403" i="9" s="1"/>
  <c r="P364" i="12"/>
  <c r="P403" i="9" s="1"/>
  <c r="O364" i="12"/>
  <c r="N364" i="12"/>
  <c r="M364" i="12"/>
  <c r="M403" i="9" s="1"/>
  <c r="L364" i="12"/>
  <c r="L403" i="9" s="1"/>
  <c r="K364" i="12"/>
  <c r="K403" i="9" s="1"/>
  <c r="J364" i="12"/>
  <c r="J403" i="9" s="1"/>
  <c r="I364" i="12"/>
  <c r="I403" i="9" s="1"/>
  <c r="N363" i="12"/>
  <c r="N402" i="9" s="1"/>
  <c r="K363" i="12"/>
  <c r="J363" i="12" s="1"/>
  <c r="I363" i="12"/>
  <c r="I402" i="9" s="1"/>
  <c r="N362" i="12"/>
  <c r="L362" i="12"/>
  <c r="L401" i="9" s="1"/>
  <c r="K362" i="12"/>
  <c r="N361" i="12"/>
  <c r="N400" i="9" s="1"/>
  <c r="K361" i="12"/>
  <c r="J361" i="12"/>
  <c r="J400" i="9" s="1"/>
  <c r="I361" i="12"/>
  <c r="I400" i="9" s="1"/>
  <c r="H361" i="12"/>
  <c r="H400" i="9" s="1"/>
  <c r="Q360" i="12"/>
  <c r="P360" i="12"/>
  <c r="P399" i="9" s="1"/>
  <c r="O360" i="12"/>
  <c r="O399" i="9" s="1"/>
  <c r="M360" i="12"/>
  <c r="M399" i="9" s="1"/>
  <c r="E359" i="12"/>
  <c r="E398" i="9" s="1"/>
  <c r="N358" i="12"/>
  <c r="J358" i="12"/>
  <c r="J397" i="9" s="1"/>
  <c r="I358" i="12"/>
  <c r="I397" i="9" s="1"/>
  <c r="H358" i="12"/>
  <c r="H397" i="9" s="1"/>
  <c r="N357" i="12"/>
  <c r="N396" i="9" s="1"/>
  <c r="J357" i="12"/>
  <c r="I357" i="12"/>
  <c r="I396" i="9" s="1"/>
  <c r="H357" i="12"/>
  <c r="H396" i="9" s="1"/>
  <c r="Q356" i="12"/>
  <c r="Q395" i="9" s="1"/>
  <c r="P356" i="12"/>
  <c r="P395" i="9" s="1"/>
  <c r="O356" i="12"/>
  <c r="M356" i="12"/>
  <c r="L356" i="12"/>
  <c r="L395" i="9" s="1"/>
  <c r="K356" i="12"/>
  <c r="K395" i="9" s="1"/>
  <c r="I356" i="12"/>
  <c r="I395" i="9" s="1"/>
  <c r="Q355" i="12"/>
  <c r="Q394" i="9" s="1"/>
  <c r="P355" i="12"/>
  <c r="P394" i="9" s="1"/>
  <c r="E355" i="12"/>
  <c r="E394" i="9" s="1"/>
  <c r="C355" i="12"/>
  <c r="C394" i="9" s="1"/>
  <c r="N354" i="12"/>
  <c r="N393" i="9" s="1"/>
  <c r="J354" i="12"/>
  <c r="J393" i="9" s="1"/>
  <c r="I354" i="12"/>
  <c r="I393" i="9" s="1"/>
  <c r="H354" i="12"/>
  <c r="H393" i="9" s="1"/>
  <c r="G354" i="12"/>
  <c r="G393" i="9" s="1"/>
  <c r="Q353" i="12"/>
  <c r="P353" i="12"/>
  <c r="O353" i="12"/>
  <c r="O392" i="9" s="1"/>
  <c r="N353" i="12"/>
  <c r="M353" i="12"/>
  <c r="M392" i="9" s="1"/>
  <c r="L353" i="12"/>
  <c r="L392" i="9" s="1"/>
  <c r="K353" i="12"/>
  <c r="K392" i="9" s="1"/>
  <c r="J353" i="12"/>
  <c r="J392" i="9" s="1"/>
  <c r="E352" i="12"/>
  <c r="D352" i="12"/>
  <c r="D391" i="9" s="1"/>
  <c r="C352" i="12"/>
  <c r="C391" i="9" s="1"/>
  <c r="N350" i="12"/>
  <c r="N389" i="9" s="1"/>
  <c r="J350" i="12"/>
  <c r="J389" i="9" s="1"/>
  <c r="I350" i="12"/>
  <c r="I389" i="9" s="1"/>
  <c r="H350" i="12"/>
  <c r="H389" i="9" s="1"/>
  <c r="N349" i="12"/>
  <c r="N388" i="9" s="1"/>
  <c r="J349" i="12"/>
  <c r="I349" i="12"/>
  <c r="I388" i="9" s="1"/>
  <c r="H349" i="12"/>
  <c r="H388" i="9" s="1"/>
  <c r="N348" i="12"/>
  <c r="N387" i="9" s="1"/>
  <c r="L348" i="12"/>
  <c r="L387" i="9" s="1"/>
  <c r="K348" i="12"/>
  <c r="N347" i="12"/>
  <c r="N386" i="9" s="1"/>
  <c r="J347" i="12"/>
  <c r="J386" i="9" s="1"/>
  <c r="I347" i="12"/>
  <c r="I386" i="9" s="1"/>
  <c r="H347" i="12"/>
  <c r="H386" i="9" s="1"/>
  <c r="G347" i="12"/>
  <c r="G386" i="9" s="1"/>
  <c r="Q346" i="12"/>
  <c r="P346" i="12"/>
  <c r="P385" i="9" s="1"/>
  <c r="O346" i="12"/>
  <c r="O385" i="9" s="1"/>
  <c r="N346" i="12"/>
  <c r="M346" i="12"/>
  <c r="M385" i="9" s="1"/>
  <c r="K346" i="12"/>
  <c r="H346" i="12" s="1"/>
  <c r="H385" i="9" s="1"/>
  <c r="P345" i="12"/>
  <c r="P384" i="9" s="1"/>
  <c r="M345" i="12"/>
  <c r="M384" i="9" s="1"/>
  <c r="D345" i="12"/>
  <c r="D384" i="9" s="1"/>
  <c r="N344" i="12"/>
  <c r="J344" i="12"/>
  <c r="J383" i="9" s="1"/>
  <c r="I344" i="12"/>
  <c r="I383" i="9" s="1"/>
  <c r="H344" i="12"/>
  <c r="H383" i="9" s="1"/>
  <c r="G344" i="12"/>
  <c r="G383" i="9" s="1"/>
  <c r="Q343" i="12"/>
  <c r="P343" i="12"/>
  <c r="O343" i="12"/>
  <c r="M343" i="12"/>
  <c r="L343" i="12"/>
  <c r="L382" i="9" s="1"/>
  <c r="K343" i="12"/>
  <c r="K382" i="9" s="1"/>
  <c r="L342" i="12"/>
  <c r="E342" i="12"/>
  <c r="E381" i="9" s="1"/>
  <c r="D342" i="12"/>
  <c r="D381" i="9" s="1"/>
  <c r="C342" i="12"/>
  <c r="C381" i="9" s="1"/>
  <c r="N341" i="12"/>
  <c r="J341" i="12"/>
  <c r="J380" i="9" s="1"/>
  <c r="I341" i="12"/>
  <c r="I380" i="9" s="1"/>
  <c r="H341" i="12"/>
  <c r="H380" i="9" s="1"/>
  <c r="Q340" i="12"/>
  <c r="P340" i="12"/>
  <c r="P379" i="9" s="1"/>
  <c r="O340" i="12"/>
  <c r="O379" i="9" s="1"/>
  <c r="N340" i="12"/>
  <c r="M340" i="12"/>
  <c r="L340" i="12"/>
  <c r="K340" i="12"/>
  <c r="H340" i="12"/>
  <c r="H379" i="9" s="1"/>
  <c r="O339" i="12"/>
  <c r="O378" i="9" s="1"/>
  <c r="E339" i="12"/>
  <c r="E378" i="9" s="1"/>
  <c r="D339" i="12"/>
  <c r="D378" i="9" s="1"/>
  <c r="C339" i="12"/>
  <c r="C378" i="9" s="1"/>
  <c r="N338" i="12"/>
  <c r="N377" i="9" s="1"/>
  <c r="J338" i="12"/>
  <c r="J377" i="9" s="1"/>
  <c r="I338" i="12"/>
  <c r="I377" i="9" s="1"/>
  <c r="H338" i="12"/>
  <c r="H377" i="9" s="1"/>
  <c r="G338" i="12"/>
  <c r="G377" i="9" s="1"/>
  <c r="Q337" i="12"/>
  <c r="Q376" i="9" s="1"/>
  <c r="P337" i="12"/>
  <c r="P376" i="9" s="1"/>
  <c r="O337" i="12"/>
  <c r="O376" i="9" s="1"/>
  <c r="N337" i="12"/>
  <c r="M337" i="12"/>
  <c r="M376" i="9" s="1"/>
  <c r="L337" i="12"/>
  <c r="K337" i="12"/>
  <c r="K376" i="9" s="1"/>
  <c r="O336" i="12"/>
  <c r="O375" i="9" s="1"/>
  <c r="L336" i="12"/>
  <c r="L375" i="9" s="1"/>
  <c r="E336" i="12"/>
  <c r="E375" i="9" s="1"/>
  <c r="D336" i="12"/>
  <c r="D375" i="9" s="1"/>
  <c r="C336" i="12"/>
  <c r="C375" i="9" s="1"/>
  <c r="N335" i="12"/>
  <c r="J335" i="12"/>
  <c r="I335" i="12"/>
  <c r="I374" i="9" s="1"/>
  <c r="H335" i="12"/>
  <c r="H374" i="9" s="1"/>
  <c r="N334" i="12"/>
  <c r="N373" i="9" s="1"/>
  <c r="J334" i="12"/>
  <c r="J373" i="9" s="1"/>
  <c r="I334" i="12"/>
  <c r="I373" i="9" s="1"/>
  <c r="H334" i="12"/>
  <c r="H373" i="9" s="1"/>
  <c r="Q333" i="12"/>
  <c r="P333" i="12"/>
  <c r="P372" i="9" s="1"/>
  <c r="O333" i="12"/>
  <c r="O372" i="9" s="1"/>
  <c r="M333" i="12"/>
  <c r="L333" i="12"/>
  <c r="L332" i="12" s="1"/>
  <c r="K333" i="12"/>
  <c r="K372" i="9" s="1"/>
  <c r="J333" i="12"/>
  <c r="J372" i="9" s="1"/>
  <c r="E332" i="12"/>
  <c r="E371" i="9" s="1"/>
  <c r="C332" i="12"/>
  <c r="C371" i="9" s="1"/>
  <c r="N329" i="12"/>
  <c r="N362" i="9" s="1"/>
  <c r="J329" i="12"/>
  <c r="J362" i="9" s="1"/>
  <c r="I329" i="12"/>
  <c r="I362" i="9" s="1"/>
  <c r="H329" i="12"/>
  <c r="H362" i="9" s="1"/>
  <c r="Q328" i="12"/>
  <c r="Q361" i="9" s="1"/>
  <c r="P328" i="12"/>
  <c r="O328" i="12"/>
  <c r="O361" i="9" s="1"/>
  <c r="N328" i="12"/>
  <c r="N361" i="9" s="1"/>
  <c r="M328" i="12"/>
  <c r="M361" i="9" s="1"/>
  <c r="L328" i="12"/>
  <c r="L361" i="9" s="1"/>
  <c r="K328" i="12"/>
  <c r="K361" i="9" s="1"/>
  <c r="N327" i="12"/>
  <c r="N360" i="9" s="1"/>
  <c r="K327" i="12"/>
  <c r="K360" i="9" s="1"/>
  <c r="J327" i="12"/>
  <c r="I327" i="12"/>
  <c r="I360" i="9" s="1"/>
  <c r="N326" i="12"/>
  <c r="N359" i="9" s="1"/>
  <c r="K326" i="12"/>
  <c r="I326" i="12"/>
  <c r="I359" i="9" s="1"/>
  <c r="N325" i="12"/>
  <c r="N358" i="9" s="1"/>
  <c r="J325" i="12"/>
  <c r="I325" i="12"/>
  <c r="I358" i="9" s="1"/>
  <c r="H325" i="12"/>
  <c r="H358" i="9" s="1"/>
  <c r="Q324" i="12"/>
  <c r="P324" i="12"/>
  <c r="P357" i="9" s="1"/>
  <c r="O324" i="12"/>
  <c r="O357" i="9" s="1"/>
  <c r="M324" i="12"/>
  <c r="M357" i="9" s="1"/>
  <c r="L324" i="12"/>
  <c r="M323" i="12"/>
  <c r="M356" i="9" s="1"/>
  <c r="L323" i="12"/>
  <c r="L356" i="9" s="1"/>
  <c r="E323" i="12"/>
  <c r="E356" i="9" s="1"/>
  <c r="N322" i="12"/>
  <c r="N355" i="9" s="1"/>
  <c r="J322" i="12"/>
  <c r="J355" i="9" s="1"/>
  <c r="I322" i="12"/>
  <c r="I355" i="9" s="1"/>
  <c r="H322" i="12"/>
  <c r="H355" i="9" s="1"/>
  <c r="Q321" i="12"/>
  <c r="Q354" i="9" s="1"/>
  <c r="P321" i="12"/>
  <c r="O321" i="12"/>
  <c r="N321" i="12"/>
  <c r="N354" i="9" s="1"/>
  <c r="M321" i="12"/>
  <c r="L321" i="12"/>
  <c r="L354" i="9" s="1"/>
  <c r="K321" i="12"/>
  <c r="K354" i="9" s="1"/>
  <c r="N320" i="12"/>
  <c r="N353" i="9" s="1"/>
  <c r="J320" i="12"/>
  <c r="I320" i="12"/>
  <c r="I353" i="9" s="1"/>
  <c r="H320" i="12"/>
  <c r="H353" i="9" s="1"/>
  <c r="N319" i="12"/>
  <c r="K319" i="12"/>
  <c r="K352" i="9" s="1"/>
  <c r="I319" i="12"/>
  <c r="I352" i="9" s="1"/>
  <c r="N318" i="12"/>
  <c r="N351" i="9" s="1"/>
  <c r="J318" i="12"/>
  <c r="J351" i="9" s="1"/>
  <c r="I318" i="12"/>
  <c r="I351" i="9" s="1"/>
  <c r="H318" i="12"/>
  <c r="H351" i="9" s="1"/>
  <c r="Q317" i="12"/>
  <c r="P317" i="12"/>
  <c r="P350" i="9" s="1"/>
  <c r="O317" i="12"/>
  <c r="O350" i="9" s="1"/>
  <c r="M317" i="12"/>
  <c r="M350" i="9" s="1"/>
  <c r="L317" i="12"/>
  <c r="L316" i="12"/>
  <c r="L349" i="9" s="1"/>
  <c r="E316" i="12"/>
  <c r="E349" i="9" s="1"/>
  <c r="N315" i="12"/>
  <c r="N348" i="9" s="1"/>
  <c r="J315" i="12"/>
  <c r="J348" i="9" s="1"/>
  <c r="I315" i="12"/>
  <c r="I348" i="9" s="1"/>
  <c r="H315" i="12"/>
  <c r="H348" i="9" s="1"/>
  <c r="G315" i="12"/>
  <c r="N314" i="12"/>
  <c r="J314" i="12"/>
  <c r="I314" i="12"/>
  <c r="I347" i="9" s="1"/>
  <c r="H314" i="12"/>
  <c r="H347" i="9" s="1"/>
  <c r="Q313" i="12"/>
  <c r="Q346" i="9" s="1"/>
  <c r="P313" i="12"/>
  <c r="P346" i="9" s="1"/>
  <c r="O313" i="12"/>
  <c r="H313" i="12" s="1"/>
  <c r="H346" i="9" s="1"/>
  <c r="M313" i="12"/>
  <c r="L313" i="12"/>
  <c r="K313" i="12"/>
  <c r="K346" i="9" s="1"/>
  <c r="P312" i="12"/>
  <c r="P345" i="9" s="1"/>
  <c r="D312" i="12"/>
  <c r="D345" i="9" s="1"/>
  <c r="C312" i="12"/>
  <c r="C345" i="9" s="1"/>
  <c r="N311" i="12"/>
  <c r="N344" i="9" s="1"/>
  <c r="J311" i="12"/>
  <c r="J344" i="9" s="1"/>
  <c r="I311" i="12"/>
  <c r="I344" i="9" s="1"/>
  <c r="H311" i="12"/>
  <c r="H344" i="9" s="1"/>
  <c r="Q310" i="12"/>
  <c r="P310" i="12"/>
  <c r="O310" i="12"/>
  <c r="O343" i="9" s="1"/>
  <c r="M310" i="12"/>
  <c r="M343" i="9" s="1"/>
  <c r="L310" i="12"/>
  <c r="L343" i="9" s="1"/>
  <c r="K310" i="12"/>
  <c r="K343" i="9" s="1"/>
  <c r="J310" i="12"/>
  <c r="H310" i="12"/>
  <c r="H343" i="9" s="1"/>
  <c r="O309" i="12"/>
  <c r="M309" i="12"/>
  <c r="J309" i="12"/>
  <c r="J342" i="9" s="1"/>
  <c r="E309" i="12"/>
  <c r="E342" i="9" s="1"/>
  <c r="D309" i="12"/>
  <c r="D342" i="9" s="1"/>
  <c r="C309" i="12"/>
  <c r="C342" i="9" s="1"/>
  <c r="N306" i="12"/>
  <c r="J306" i="12"/>
  <c r="J339" i="9" s="1"/>
  <c r="I306" i="12"/>
  <c r="I339" i="9" s="1"/>
  <c r="H306" i="12"/>
  <c r="H339" i="9" s="1"/>
  <c r="Q305" i="12"/>
  <c r="Q338" i="9" s="1"/>
  <c r="P305" i="12"/>
  <c r="O305" i="12"/>
  <c r="M305" i="12"/>
  <c r="M338" i="9" s="1"/>
  <c r="L305" i="12"/>
  <c r="L338" i="9" s="1"/>
  <c r="K305" i="12"/>
  <c r="K338" i="9" s="1"/>
  <c r="J305" i="12"/>
  <c r="K304" i="12"/>
  <c r="K337" i="9" s="1"/>
  <c r="E304" i="12"/>
  <c r="E337" i="9" s="1"/>
  <c r="D304" i="12"/>
  <c r="D337" i="9" s="1"/>
  <c r="C304" i="12"/>
  <c r="C337" i="9" s="1"/>
  <c r="N303" i="12"/>
  <c r="N336" i="9" s="1"/>
  <c r="J303" i="12"/>
  <c r="I303" i="12"/>
  <c r="I336" i="9" s="1"/>
  <c r="H303" i="12"/>
  <c r="H336" i="9" s="1"/>
  <c r="N302" i="12"/>
  <c r="N335" i="9" s="1"/>
  <c r="J302" i="12"/>
  <c r="I302" i="12"/>
  <c r="I335" i="9" s="1"/>
  <c r="H302" i="12"/>
  <c r="H335" i="9" s="1"/>
  <c r="Q301" i="12"/>
  <c r="P301" i="12"/>
  <c r="O301" i="12"/>
  <c r="O334" i="9" s="1"/>
  <c r="M301" i="12"/>
  <c r="L301" i="12"/>
  <c r="L334" i="9" s="1"/>
  <c r="K301" i="12"/>
  <c r="H301" i="12"/>
  <c r="H334" i="9" s="1"/>
  <c r="D300" i="12"/>
  <c r="C300" i="12"/>
  <c r="N299" i="12"/>
  <c r="N332" i="9" s="1"/>
  <c r="J299" i="12"/>
  <c r="I299" i="12"/>
  <c r="I332" i="9" s="1"/>
  <c r="H299" i="12"/>
  <c r="H332" i="9" s="1"/>
  <c r="Q298" i="12"/>
  <c r="Q331" i="9" s="1"/>
  <c r="P298" i="12"/>
  <c r="P331" i="9" s="1"/>
  <c r="O298" i="12"/>
  <c r="N298" i="12"/>
  <c r="M298" i="12"/>
  <c r="M331" i="9" s="1"/>
  <c r="L298" i="12"/>
  <c r="L331" i="9" s="1"/>
  <c r="K298" i="12"/>
  <c r="K297" i="12" s="1"/>
  <c r="I298" i="12"/>
  <c r="I331" i="9" s="1"/>
  <c r="Q297" i="12"/>
  <c r="Q330" i="9" s="1"/>
  <c r="E297" i="12"/>
  <c r="E330" i="9" s="1"/>
  <c r="D297" i="12"/>
  <c r="D330" i="9" s="1"/>
  <c r="C297" i="12"/>
  <c r="C330" i="9" s="1"/>
  <c r="N293" i="12"/>
  <c r="N308" i="9" s="1"/>
  <c r="J293" i="12"/>
  <c r="J308" i="9" s="1"/>
  <c r="I293" i="12"/>
  <c r="I308" i="9" s="1"/>
  <c r="H293" i="12"/>
  <c r="H308" i="9" s="1"/>
  <c r="N292" i="12"/>
  <c r="J292" i="12"/>
  <c r="J307" i="9" s="1"/>
  <c r="I292" i="12"/>
  <c r="I307" i="9" s="1"/>
  <c r="H292" i="12"/>
  <c r="H307" i="9" s="1"/>
  <c r="N291" i="12"/>
  <c r="N306" i="9" s="1"/>
  <c r="J291" i="12"/>
  <c r="I291" i="12"/>
  <c r="I306" i="9" s="1"/>
  <c r="H291" i="12"/>
  <c r="H306" i="9" s="1"/>
  <c r="Q290" i="12"/>
  <c r="P290" i="12"/>
  <c r="P305" i="9" s="1"/>
  <c r="O290" i="12"/>
  <c r="O305" i="9" s="1"/>
  <c r="M290" i="12"/>
  <c r="L290" i="12"/>
  <c r="K290" i="12"/>
  <c r="K305" i="9" s="1"/>
  <c r="P289" i="12"/>
  <c r="P304" i="9" s="1"/>
  <c r="L289" i="12"/>
  <c r="E289" i="12"/>
  <c r="E304" i="9" s="1"/>
  <c r="D289" i="12"/>
  <c r="D304" i="9" s="1"/>
  <c r="N288" i="12"/>
  <c r="N303" i="9" s="1"/>
  <c r="K288" i="12"/>
  <c r="J288" i="12" s="1"/>
  <c r="I288" i="12"/>
  <c r="I303" i="9" s="1"/>
  <c r="N287" i="12"/>
  <c r="N302" i="9" s="1"/>
  <c r="K287" i="12"/>
  <c r="I287" i="12"/>
  <c r="I302" i="9" s="1"/>
  <c r="N286" i="12"/>
  <c r="N301" i="9" s="1"/>
  <c r="J286" i="12"/>
  <c r="J301" i="9" s="1"/>
  <c r="I286" i="12"/>
  <c r="I301" i="9" s="1"/>
  <c r="H286" i="12"/>
  <c r="H301" i="9" s="1"/>
  <c r="Q285" i="12"/>
  <c r="Q300" i="9" s="1"/>
  <c r="P285" i="12"/>
  <c r="P300" i="9" s="1"/>
  <c r="O285" i="12"/>
  <c r="M285" i="12"/>
  <c r="L285" i="12"/>
  <c r="L300" i="9" s="1"/>
  <c r="Q284" i="12"/>
  <c r="Q299" i="9" s="1"/>
  <c r="P284" i="12"/>
  <c r="P299" i="9" s="1"/>
  <c r="E284" i="12"/>
  <c r="D284" i="12"/>
  <c r="D299" i="9" s="1"/>
  <c r="N283" i="12"/>
  <c r="N298" i="9" s="1"/>
  <c r="K283" i="12"/>
  <c r="I283" i="12"/>
  <c r="I298" i="9" s="1"/>
  <c r="N282" i="12"/>
  <c r="N297" i="9" s="1"/>
  <c r="K282" i="12"/>
  <c r="K297" i="9" s="1"/>
  <c r="J282" i="12"/>
  <c r="J297" i="9" s="1"/>
  <c r="I282" i="12"/>
  <c r="I297" i="9" s="1"/>
  <c r="H282" i="12"/>
  <c r="H297" i="9" s="1"/>
  <c r="N281" i="12"/>
  <c r="J281" i="12"/>
  <c r="I281" i="12"/>
  <c r="I296" i="9" s="1"/>
  <c r="H281" i="12"/>
  <c r="H296" i="9" s="1"/>
  <c r="Q280" i="12"/>
  <c r="Q295" i="9" s="1"/>
  <c r="P280" i="12"/>
  <c r="O280" i="12"/>
  <c r="M280" i="12"/>
  <c r="M295" i="9" s="1"/>
  <c r="L280" i="12"/>
  <c r="L279" i="12"/>
  <c r="E279" i="12"/>
  <c r="E294" i="9" s="1"/>
  <c r="D279" i="12"/>
  <c r="D294" i="9" s="1"/>
  <c r="N276" i="12"/>
  <c r="N291" i="9" s="1"/>
  <c r="M276" i="12"/>
  <c r="M291" i="9" s="1"/>
  <c r="K276" i="12"/>
  <c r="K291" i="9" s="1"/>
  <c r="J276" i="12"/>
  <c r="J291" i="9" s="1"/>
  <c r="I276" i="12"/>
  <c r="I291" i="9" s="1"/>
  <c r="H276" i="12"/>
  <c r="H291" i="9" s="1"/>
  <c r="Q275" i="12"/>
  <c r="Q290" i="9" s="1"/>
  <c r="P275" i="12"/>
  <c r="O275" i="12"/>
  <c r="O290" i="9" s="1"/>
  <c r="M275" i="12"/>
  <c r="L275" i="12"/>
  <c r="O274" i="12"/>
  <c r="O289" i="9" s="1"/>
  <c r="L274" i="12"/>
  <c r="L289" i="9" s="1"/>
  <c r="E274" i="12"/>
  <c r="E289" i="9" s="1"/>
  <c r="D274" i="12"/>
  <c r="D289" i="9" s="1"/>
  <c r="C274" i="12"/>
  <c r="C289" i="9" s="1"/>
  <c r="N273" i="12"/>
  <c r="J273" i="12"/>
  <c r="J288" i="9" s="1"/>
  <c r="I273" i="12"/>
  <c r="I288" i="9" s="1"/>
  <c r="H273" i="12"/>
  <c r="H288" i="9" s="1"/>
  <c r="Q272" i="12"/>
  <c r="Q287" i="9" s="1"/>
  <c r="P272" i="12"/>
  <c r="O272" i="12"/>
  <c r="O287" i="9" s="1"/>
  <c r="M272" i="12"/>
  <c r="L272" i="12"/>
  <c r="L287" i="9" s="1"/>
  <c r="K272" i="12"/>
  <c r="K287" i="9" s="1"/>
  <c r="H272" i="12"/>
  <c r="H287" i="9" s="1"/>
  <c r="Q271" i="12"/>
  <c r="Q286" i="9" s="1"/>
  <c r="O271" i="12"/>
  <c r="O286" i="9" s="1"/>
  <c r="K271" i="12"/>
  <c r="K286" i="9" s="1"/>
  <c r="E271" i="12"/>
  <c r="D271" i="12"/>
  <c r="D286" i="9" s="1"/>
  <c r="C271" i="12"/>
  <c r="C286" i="9" s="1"/>
  <c r="N270" i="12"/>
  <c r="N285" i="9" s="1"/>
  <c r="J270" i="12"/>
  <c r="J285" i="9" s="1"/>
  <c r="I270" i="12"/>
  <c r="I285" i="9" s="1"/>
  <c r="H270" i="12"/>
  <c r="H285" i="9" s="1"/>
  <c r="Q269" i="12"/>
  <c r="Q284" i="9" s="1"/>
  <c r="P269" i="12"/>
  <c r="P284" i="9" s="1"/>
  <c r="O269" i="12"/>
  <c r="M269" i="12"/>
  <c r="M284" i="9" s="1"/>
  <c r="L269" i="12"/>
  <c r="L284" i="9" s="1"/>
  <c r="K269" i="12"/>
  <c r="K284" i="9" s="1"/>
  <c r="J269" i="12"/>
  <c r="J284" i="9" s="1"/>
  <c r="I269" i="12"/>
  <c r="I284" i="9" s="1"/>
  <c r="Q268" i="12"/>
  <c r="Q283" i="9" s="1"/>
  <c r="K268" i="12"/>
  <c r="K283" i="9" s="1"/>
  <c r="E268" i="12"/>
  <c r="E283" i="9" s="1"/>
  <c r="D268" i="12"/>
  <c r="D283" i="9" s="1"/>
  <c r="C268" i="12"/>
  <c r="C283" i="9" s="1"/>
  <c r="N267" i="12"/>
  <c r="J267" i="12"/>
  <c r="J282" i="9" s="1"/>
  <c r="I267" i="12"/>
  <c r="I282" i="9" s="1"/>
  <c r="H267" i="12"/>
  <c r="H282" i="9" s="1"/>
  <c r="Q266" i="12"/>
  <c r="Q281" i="9" s="1"/>
  <c r="P266" i="12"/>
  <c r="O266" i="12"/>
  <c r="O281" i="9" s="1"/>
  <c r="M266" i="12"/>
  <c r="M281" i="9" s="1"/>
  <c r="L266" i="12"/>
  <c r="L281" i="9" s="1"/>
  <c r="K266" i="12"/>
  <c r="O265" i="12"/>
  <c r="O280" i="9" s="1"/>
  <c r="M265" i="12"/>
  <c r="M280" i="9" s="1"/>
  <c r="E265" i="12"/>
  <c r="E280" i="9" s="1"/>
  <c r="D265" i="12"/>
  <c r="D280" i="9" s="1"/>
  <c r="C265" i="12"/>
  <c r="C280" i="9" s="1"/>
  <c r="N264" i="12"/>
  <c r="N279" i="9" s="1"/>
  <c r="J264" i="12"/>
  <c r="J279" i="9" s="1"/>
  <c r="I264" i="12"/>
  <c r="I279" i="9" s="1"/>
  <c r="H264" i="12"/>
  <c r="H279" i="9" s="1"/>
  <c r="Q263" i="12"/>
  <c r="Q278" i="9" s="1"/>
  <c r="P263" i="12"/>
  <c r="P278" i="9" s="1"/>
  <c r="O263" i="12"/>
  <c r="N263" i="12"/>
  <c r="M263" i="12"/>
  <c r="L263" i="12"/>
  <c r="L278" i="9" s="1"/>
  <c r="K263" i="12"/>
  <c r="K278" i="9" s="1"/>
  <c r="E262" i="12"/>
  <c r="E277" i="9" s="1"/>
  <c r="D262" i="12"/>
  <c r="D277" i="9" s="1"/>
  <c r="C262" i="12"/>
  <c r="C277" i="9" s="1"/>
  <c r="N261" i="12"/>
  <c r="N276" i="9" s="1"/>
  <c r="J261" i="12"/>
  <c r="J276" i="9" s="1"/>
  <c r="I261" i="12"/>
  <c r="I276" i="9" s="1"/>
  <c r="H261" i="12"/>
  <c r="H276" i="9" s="1"/>
  <c r="Q260" i="12"/>
  <c r="P260" i="12"/>
  <c r="O260" i="12"/>
  <c r="N260" i="12"/>
  <c r="M260" i="12"/>
  <c r="L260" i="12"/>
  <c r="L275" i="9" s="1"/>
  <c r="K260" i="12"/>
  <c r="K275" i="9" s="1"/>
  <c r="K259" i="12"/>
  <c r="K274" i="9" s="1"/>
  <c r="E259" i="12"/>
  <c r="E274" i="9" s="1"/>
  <c r="D259" i="12"/>
  <c r="D274" i="9" s="1"/>
  <c r="C259" i="12"/>
  <c r="C274" i="9" s="1"/>
  <c r="N258" i="12"/>
  <c r="N273" i="9" s="1"/>
  <c r="L258" i="12"/>
  <c r="L273" i="9" s="1"/>
  <c r="K258" i="12"/>
  <c r="K273" i="9" s="1"/>
  <c r="I258" i="12"/>
  <c r="I273" i="9" s="1"/>
  <c r="H258" i="12"/>
  <c r="H273" i="9" s="1"/>
  <c r="N257" i="12"/>
  <c r="L257" i="12"/>
  <c r="K257" i="12"/>
  <c r="N256" i="12"/>
  <c r="J256" i="12"/>
  <c r="J271" i="9" s="1"/>
  <c r="I256" i="12"/>
  <c r="I271" i="9" s="1"/>
  <c r="H256" i="12"/>
  <c r="H271" i="9" s="1"/>
  <c r="Q255" i="12"/>
  <c r="Q270" i="9" s="1"/>
  <c r="P255" i="12"/>
  <c r="P270" i="9" s="1"/>
  <c r="O255" i="12"/>
  <c r="M255" i="12"/>
  <c r="K255" i="12"/>
  <c r="Q254" i="12"/>
  <c r="Q269" i="9" s="1"/>
  <c r="E254" i="12"/>
  <c r="E269" i="9" s="1"/>
  <c r="D254" i="12"/>
  <c r="D269" i="9" s="1"/>
  <c r="N253" i="12"/>
  <c r="N268" i="9" s="1"/>
  <c r="K253" i="12"/>
  <c r="K268" i="9" s="1"/>
  <c r="J253" i="12"/>
  <c r="I253" i="12"/>
  <c r="I268" i="9" s="1"/>
  <c r="H253" i="12"/>
  <c r="H268" i="9" s="1"/>
  <c r="N252" i="12"/>
  <c r="K252" i="12"/>
  <c r="K267" i="9" s="1"/>
  <c r="I252" i="12"/>
  <c r="I267" i="9" s="1"/>
  <c r="N251" i="12"/>
  <c r="N266" i="9" s="1"/>
  <c r="J251" i="12"/>
  <c r="J266" i="9" s="1"/>
  <c r="I251" i="12"/>
  <c r="I266" i="9" s="1"/>
  <c r="H251" i="12"/>
  <c r="H266" i="9" s="1"/>
  <c r="Q250" i="12"/>
  <c r="P250" i="12"/>
  <c r="P265" i="9" s="1"/>
  <c r="O250" i="12"/>
  <c r="M250" i="12"/>
  <c r="L250" i="12"/>
  <c r="L265" i="9" s="1"/>
  <c r="I250" i="12"/>
  <c r="I265" i="9" s="1"/>
  <c r="P249" i="12"/>
  <c r="P264" i="9" s="1"/>
  <c r="L249" i="12"/>
  <c r="L264" i="9" s="1"/>
  <c r="E249" i="12"/>
  <c r="E264" i="9" s="1"/>
  <c r="D249" i="12"/>
  <c r="D264" i="9" s="1"/>
  <c r="N248" i="12"/>
  <c r="J248" i="12"/>
  <c r="I248" i="12"/>
  <c r="I263" i="9" s="1"/>
  <c r="H248" i="12"/>
  <c r="H263" i="9" s="1"/>
  <c r="Q247" i="12"/>
  <c r="Q262" i="9" s="1"/>
  <c r="P247" i="12"/>
  <c r="O247" i="12"/>
  <c r="M247" i="12"/>
  <c r="M262" i="9" s="1"/>
  <c r="L247" i="12"/>
  <c r="L262" i="9" s="1"/>
  <c r="K247" i="12"/>
  <c r="K262" i="9" s="1"/>
  <c r="Q246" i="12"/>
  <c r="Q261" i="9" s="1"/>
  <c r="O246" i="12"/>
  <c r="O261" i="9" s="1"/>
  <c r="K246" i="12"/>
  <c r="K261" i="9" s="1"/>
  <c r="E246" i="12"/>
  <c r="E261" i="9" s="1"/>
  <c r="D246" i="12"/>
  <c r="D261" i="9" s="1"/>
  <c r="C246" i="12"/>
  <c r="C261" i="9" s="1"/>
  <c r="N245" i="12"/>
  <c r="M245" i="12"/>
  <c r="K245" i="12"/>
  <c r="K260" i="9" s="1"/>
  <c r="I245" i="12"/>
  <c r="I260" i="9" s="1"/>
  <c r="Q244" i="12"/>
  <c r="Q259" i="9" s="1"/>
  <c r="P244" i="12"/>
  <c r="P259" i="9" s="1"/>
  <c r="O244" i="12"/>
  <c r="O259" i="9" s="1"/>
  <c r="L244" i="12"/>
  <c r="L259" i="9" s="1"/>
  <c r="Q243" i="12"/>
  <c r="Q258" i="9" s="1"/>
  <c r="E243" i="12"/>
  <c r="E258" i="9" s="1"/>
  <c r="D243" i="12"/>
  <c r="D258" i="9" s="1"/>
  <c r="C243" i="12"/>
  <c r="C258" i="9" s="1"/>
  <c r="N241" i="12"/>
  <c r="J241" i="12"/>
  <c r="J256" i="9" s="1"/>
  <c r="I241" i="12"/>
  <c r="I256" i="9" s="1"/>
  <c r="H241" i="12"/>
  <c r="H256" i="9" s="1"/>
  <c r="Q240" i="12"/>
  <c r="Q255" i="9" s="1"/>
  <c r="P240" i="12"/>
  <c r="P255" i="9" s="1"/>
  <c r="O240" i="12"/>
  <c r="M240" i="12"/>
  <c r="L240" i="12"/>
  <c r="K240" i="12"/>
  <c r="K255" i="9" s="1"/>
  <c r="P239" i="12"/>
  <c r="P254" i="9" s="1"/>
  <c r="L239" i="12"/>
  <c r="L254" i="9" s="1"/>
  <c r="E239" i="12"/>
  <c r="E254" i="9" s="1"/>
  <c r="D239" i="12"/>
  <c r="D254" i="9" s="1"/>
  <c r="C239" i="12"/>
  <c r="C254" i="9" s="1"/>
  <c r="N238" i="12"/>
  <c r="N253" i="9" s="1"/>
  <c r="J238" i="12"/>
  <c r="I238" i="12"/>
  <c r="I253" i="9" s="1"/>
  <c r="H238" i="12"/>
  <c r="H253" i="9" s="1"/>
  <c r="Q237" i="12"/>
  <c r="Q252" i="9" s="1"/>
  <c r="P237" i="12"/>
  <c r="O237" i="12"/>
  <c r="M237" i="12"/>
  <c r="M252" i="9" s="1"/>
  <c r="L237" i="12"/>
  <c r="L252" i="9" s="1"/>
  <c r="K237" i="12"/>
  <c r="K252" i="9" s="1"/>
  <c r="J237" i="12"/>
  <c r="Q236" i="12"/>
  <c r="Q251" i="9" s="1"/>
  <c r="E236" i="12"/>
  <c r="E251" i="9" s="1"/>
  <c r="D236" i="12"/>
  <c r="D251" i="9" s="1"/>
  <c r="C236" i="12"/>
  <c r="C251" i="9" s="1"/>
  <c r="N235" i="12"/>
  <c r="N250" i="9" s="1"/>
  <c r="J235" i="12"/>
  <c r="J250" i="9" s="1"/>
  <c r="I235" i="12"/>
  <c r="I250" i="9" s="1"/>
  <c r="H235" i="12"/>
  <c r="H250" i="9" s="1"/>
  <c r="Q234" i="12"/>
  <c r="P234" i="12"/>
  <c r="P249" i="9" s="1"/>
  <c r="O234" i="12"/>
  <c r="O249" i="9" s="1"/>
  <c r="M234" i="12"/>
  <c r="M249" i="9" s="1"/>
  <c r="L234" i="12"/>
  <c r="L249" i="9" s="1"/>
  <c r="K234" i="12"/>
  <c r="K249" i="9" s="1"/>
  <c r="I234" i="12"/>
  <c r="I249" i="9" s="1"/>
  <c r="H234" i="12"/>
  <c r="H249" i="9" s="1"/>
  <c r="N233" i="12"/>
  <c r="N248" i="9" s="1"/>
  <c r="J233" i="12"/>
  <c r="J248" i="9" s="1"/>
  <c r="I233" i="12"/>
  <c r="I248" i="9" s="1"/>
  <c r="H233" i="12"/>
  <c r="H248" i="9" s="1"/>
  <c r="N232" i="12"/>
  <c r="N247" i="9" s="1"/>
  <c r="L232" i="12"/>
  <c r="K232" i="12"/>
  <c r="K247" i="9" s="1"/>
  <c r="H232" i="12"/>
  <c r="H247" i="9" s="1"/>
  <c r="N231" i="12"/>
  <c r="N246" i="9" s="1"/>
  <c r="L231" i="12"/>
  <c r="L246" i="9" s="1"/>
  <c r="K231" i="12"/>
  <c r="K246" i="9" s="1"/>
  <c r="J231" i="12"/>
  <c r="N230" i="12"/>
  <c r="N245" i="9" s="1"/>
  <c r="J230" i="12"/>
  <c r="I230" i="12"/>
  <c r="I245" i="9" s="1"/>
  <c r="H230" i="12"/>
  <c r="H245" i="9" s="1"/>
  <c r="Q229" i="12"/>
  <c r="Q244" i="9" s="1"/>
  <c r="P229" i="12"/>
  <c r="O229" i="12"/>
  <c r="O244" i="9" s="1"/>
  <c r="M229" i="12"/>
  <c r="M244" i="9" s="1"/>
  <c r="O228" i="12"/>
  <c r="O243" i="9" s="1"/>
  <c r="N227" i="12"/>
  <c r="J227" i="12"/>
  <c r="J242" i="9" s="1"/>
  <c r="I227" i="12"/>
  <c r="I242" i="9" s="1"/>
  <c r="H227" i="12"/>
  <c r="H242" i="9" s="1"/>
  <c r="Q226" i="12"/>
  <c r="Q241" i="9" s="1"/>
  <c r="P226" i="12"/>
  <c r="P241" i="9" s="1"/>
  <c r="O226" i="12"/>
  <c r="O241" i="9" s="1"/>
  <c r="M226" i="12"/>
  <c r="M241" i="9" s="1"/>
  <c r="L226" i="12"/>
  <c r="L241" i="9" s="1"/>
  <c r="K226" i="12"/>
  <c r="N225" i="12"/>
  <c r="N240" i="9" s="1"/>
  <c r="L225" i="12"/>
  <c r="L240" i="9" s="1"/>
  <c r="K225" i="12"/>
  <c r="J225" i="12"/>
  <c r="I225" i="12"/>
  <c r="I240" i="9" s="1"/>
  <c r="N224" i="12"/>
  <c r="N239" i="9" s="1"/>
  <c r="L224" i="12"/>
  <c r="L239" i="9" s="1"/>
  <c r="K224" i="12"/>
  <c r="K239" i="9" s="1"/>
  <c r="N223" i="12"/>
  <c r="N238" i="9" s="1"/>
  <c r="J223" i="12"/>
  <c r="J238" i="9" s="1"/>
  <c r="I223" i="12"/>
  <c r="I238" i="9" s="1"/>
  <c r="H223" i="12"/>
  <c r="H238" i="9" s="1"/>
  <c r="G223" i="12"/>
  <c r="G238" i="9" s="1"/>
  <c r="Q222" i="12"/>
  <c r="Q237" i="9" s="1"/>
  <c r="P222" i="12"/>
  <c r="P237" i="9" s="1"/>
  <c r="O222" i="12"/>
  <c r="O237" i="9" s="1"/>
  <c r="N222" i="12"/>
  <c r="N237" i="9" s="1"/>
  <c r="M222" i="12"/>
  <c r="M237" i="9" s="1"/>
  <c r="O221" i="12"/>
  <c r="O236" i="9" s="1"/>
  <c r="E221" i="12"/>
  <c r="E236" i="9" s="1"/>
  <c r="N220" i="12"/>
  <c r="J220" i="12"/>
  <c r="J235" i="9" s="1"/>
  <c r="I220" i="12"/>
  <c r="I235" i="9" s="1"/>
  <c r="H220" i="12"/>
  <c r="H235" i="9" s="1"/>
  <c r="Q219" i="12"/>
  <c r="Q234" i="9" s="1"/>
  <c r="P219" i="12"/>
  <c r="P234" i="9" s="1"/>
  <c r="O219" i="12"/>
  <c r="O234" i="9" s="1"/>
  <c r="M219" i="12"/>
  <c r="M234" i="9" s="1"/>
  <c r="L219" i="12"/>
  <c r="K219" i="12"/>
  <c r="K234" i="9" s="1"/>
  <c r="H219" i="12"/>
  <c r="H234" i="9" s="1"/>
  <c r="N218" i="12"/>
  <c r="L218" i="12"/>
  <c r="L233" i="9" s="1"/>
  <c r="K218" i="12"/>
  <c r="K233" i="9" s="1"/>
  <c r="N217" i="12"/>
  <c r="N232" i="9" s="1"/>
  <c r="K217" i="12"/>
  <c r="K232" i="9" s="1"/>
  <c r="I217" i="12"/>
  <c r="I232" i="9" s="1"/>
  <c r="N216" i="12"/>
  <c r="N231" i="9" s="1"/>
  <c r="J216" i="12"/>
  <c r="J231" i="9" s="1"/>
  <c r="I216" i="12"/>
  <c r="I231" i="9" s="1"/>
  <c r="H216" i="12"/>
  <c r="H231" i="9" s="1"/>
  <c r="G216" i="12"/>
  <c r="G231" i="9" s="1"/>
  <c r="Q215" i="12"/>
  <c r="P215" i="12"/>
  <c r="P230" i="9" s="1"/>
  <c r="O215" i="12"/>
  <c r="O230" i="9" s="1"/>
  <c r="M215" i="12"/>
  <c r="M230" i="9" s="1"/>
  <c r="P214" i="12"/>
  <c r="P229" i="9" s="1"/>
  <c r="E214" i="12"/>
  <c r="E229" i="9" s="1"/>
  <c r="N212" i="12"/>
  <c r="J212" i="12"/>
  <c r="J227" i="9" s="1"/>
  <c r="I212" i="12"/>
  <c r="I227" i="9" s="1"/>
  <c r="H212" i="12"/>
  <c r="H227" i="9" s="1"/>
  <c r="Q211" i="12"/>
  <c r="Q226" i="9" s="1"/>
  <c r="P211" i="12"/>
  <c r="P226" i="9" s="1"/>
  <c r="O211" i="12"/>
  <c r="O226" i="9" s="1"/>
  <c r="M211" i="12"/>
  <c r="L211" i="12"/>
  <c r="L226" i="9" s="1"/>
  <c r="K211" i="12"/>
  <c r="Q210" i="12"/>
  <c r="Q225" i="9" s="1"/>
  <c r="E210" i="12"/>
  <c r="E225" i="9" s="1"/>
  <c r="D210" i="12"/>
  <c r="D225" i="9" s="1"/>
  <c r="C210" i="12"/>
  <c r="C225" i="9" s="1"/>
  <c r="N209" i="12"/>
  <c r="J209" i="12"/>
  <c r="J224" i="9" s="1"/>
  <c r="I209" i="12"/>
  <c r="I224" i="9" s="1"/>
  <c r="H209" i="12"/>
  <c r="H224" i="9" s="1"/>
  <c r="Q208" i="12"/>
  <c r="Q223" i="9" s="1"/>
  <c r="P208" i="12"/>
  <c r="P223" i="9" s="1"/>
  <c r="O208" i="12"/>
  <c r="M208" i="12"/>
  <c r="M223" i="9" s="1"/>
  <c r="L208" i="12"/>
  <c r="L223" i="9" s="1"/>
  <c r="K208" i="12"/>
  <c r="K223" i="9" s="1"/>
  <c r="Q207" i="12"/>
  <c r="Q222" i="9" s="1"/>
  <c r="P207" i="12"/>
  <c r="P222" i="9" s="1"/>
  <c r="M207" i="12"/>
  <c r="M222" i="9" s="1"/>
  <c r="K207" i="12"/>
  <c r="E207" i="12"/>
  <c r="E222" i="9" s="1"/>
  <c r="D207" i="12"/>
  <c r="D222" i="9" s="1"/>
  <c r="C207" i="12"/>
  <c r="C222" i="9" s="1"/>
  <c r="N206" i="12"/>
  <c r="N221" i="9" s="1"/>
  <c r="J206" i="12"/>
  <c r="J221" i="9" s="1"/>
  <c r="I206" i="12"/>
  <c r="I221" i="9" s="1"/>
  <c r="H206" i="12"/>
  <c r="H221" i="9" s="1"/>
  <c r="N205" i="12"/>
  <c r="J205" i="12"/>
  <c r="J220" i="9" s="1"/>
  <c r="I205" i="12"/>
  <c r="I220" i="9" s="1"/>
  <c r="H205" i="12"/>
  <c r="H220" i="9" s="1"/>
  <c r="N204" i="12"/>
  <c r="N219" i="9" s="1"/>
  <c r="M204" i="12"/>
  <c r="K204" i="12"/>
  <c r="I204" i="12"/>
  <c r="I219" i="9" s="1"/>
  <c r="H204" i="12"/>
  <c r="H219" i="9" s="1"/>
  <c r="Q203" i="12"/>
  <c r="Q218" i="9" s="1"/>
  <c r="P203" i="12"/>
  <c r="O203" i="12"/>
  <c r="L203" i="12"/>
  <c r="L218" i="9" s="1"/>
  <c r="K203" i="12"/>
  <c r="Q202" i="12"/>
  <c r="Q217" i="9" s="1"/>
  <c r="K202" i="12"/>
  <c r="E202" i="12"/>
  <c r="E217" i="9" s="1"/>
  <c r="D202" i="12"/>
  <c r="D217" i="9" s="1"/>
  <c r="N201" i="12"/>
  <c r="K201" i="12"/>
  <c r="K216" i="9" s="1"/>
  <c r="J201" i="12"/>
  <c r="J216" i="9" s="1"/>
  <c r="I201" i="12"/>
  <c r="I216" i="9" s="1"/>
  <c r="H201" i="12"/>
  <c r="H216" i="9" s="1"/>
  <c r="N200" i="12"/>
  <c r="K200" i="12"/>
  <c r="K215" i="9" s="1"/>
  <c r="I200" i="12"/>
  <c r="I215" i="9" s="1"/>
  <c r="N199" i="12"/>
  <c r="N214" i="9" s="1"/>
  <c r="M199" i="12"/>
  <c r="M214" i="9" s="1"/>
  <c r="K199" i="12"/>
  <c r="K214" i="9" s="1"/>
  <c r="I199" i="12"/>
  <c r="I214" i="9" s="1"/>
  <c r="Q198" i="12"/>
  <c r="Q213" i="9" s="1"/>
  <c r="P198" i="12"/>
  <c r="O198" i="12"/>
  <c r="L198" i="12"/>
  <c r="E197" i="12"/>
  <c r="E212" i="9" s="1"/>
  <c r="D197" i="12"/>
  <c r="D212" i="9" s="1"/>
  <c r="N196" i="12"/>
  <c r="M196" i="12"/>
  <c r="M211" i="9" s="1"/>
  <c r="J196" i="12"/>
  <c r="J211" i="9" s="1"/>
  <c r="I196" i="12"/>
  <c r="I211" i="9" s="1"/>
  <c r="H196" i="12"/>
  <c r="H211" i="9" s="1"/>
  <c r="Q195" i="12"/>
  <c r="Q210" i="9" s="1"/>
  <c r="P195" i="12"/>
  <c r="P210" i="9" s="1"/>
  <c r="O195" i="12"/>
  <c r="H195" i="12" s="1"/>
  <c r="H210" i="9" s="1"/>
  <c r="L195" i="12"/>
  <c r="L210" i="9" s="1"/>
  <c r="K195" i="12"/>
  <c r="K210" i="9" s="1"/>
  <c r="K194" i="12"/>
  <c r="K209" i="9" s="1"/>
  <c r="E194" i="12"/>
  <c r="E209" i="9" s="1"/>
  <c r="D194" i="12"/>
  <c r="D209" i="9" s="1"/>
  <c r="C194" i="12"/>
  <c r="C209" i="9" s="1"/>
  <c r="N193" i="12"/>
  <c r="N208" i="9" s="1"/>
  <c r="J193" i="12"/>
  <c r="J208" i="9" s="1"/>
  <c r="I193" i="12"/>
  <c r="I208" i="9" s="1"/>
  <c r="H193" i="12"/>
  <c r="H208" i="9" s="1"/>
  <c r="Q192" i="12"/>
  <c r="Q207" i="9" s="1"/>
  <c r="P192" i="12"/>
  <c r="P207" i="9" s="1"/>
  <c r="O192" i="12"/>
  <c r="O207" i="9" s="1"/>
  <c r="M192" i="12"/>
  <c r="M207" i="9" s="1"/>
  <c r="L192" i="12"/>
  <c r="K192" i="12"/>
  <c r="N191" i="12"/>
  <c r="N206" i="9" s="1"/>
  <c r="K191" i="12"/>
  <c r="K206" i="9" s="1"/>
  <c r="I191" i="12"/>
  <c r="I206" i="9" s="1"/>
  <c r="N190" i="12"/>
  <c r="N205" i="9" s="1"/>
  <c r="K190" i="12"/>
  <c r="K205" i="9" s="1"/>
  <c r="J190" i="12"/>
  <c r="I190" i="12"/>
  <c r="I205" i="9" s="1"/>
  <c r="N189" i="12"/>
  <c r="N204" i="9" s="1"/>
  <c r="J189" i="12"/>
  <c r="J204" i="9" s="1"/>
  <c r="I189" i="12"/>
  <c r="I204" i="9" s="1"/>
  <c r="H189" i="12"/>
  <c r="H204" i="9" s="1"/>
  <c r="G189" i="12"/>
  <c r="G204" i="9" s="1"/>
  <c r="Q188" i="12"/>
  <c r="P188" i="12"/>
  <c r="P203" i="9" s="1"/>
  <c r="O188" i="12"/>
  <c r="O203" i="9" s="1"/>
  <c r="M188" i="12"/>
  <c r="L188" i="12"/>
  <c r="L203" i="9" s="1"/>
  <c r="P187" i="12"/>
  <c r="P202" i="9" s="1"/>
  <c r="O187" i="12"/>
  <c r="O202" i="9" s="1"/>
  <c r="E187" i="12"/>
  <c r="E202" i="9" s="1"/>
  <c r="N186" i="12"/>
  <c r="J186" i="12"/>
  <c r="J201" i="9" s="1"/>
  <c r="I186" i="12"/>
  <c r="I201" i="9" s="1"/>
  <c r="H186" i="12"/>
  <c r="H201" i="9" s="1"/>
  <c r="Q185" i="12"/>
  <c r="Q200" i="9" s="1"/>
  <c r="P185" i="12"/>
  <c r="P200" i="9" s="1"/>
  <c r="O185" i="12"/>
  <c r="O200" i="9" s="1"/>
  <c r="M185" i="12"/>
  <c r="M200" i="9" s="1"/>
  <c r="L185" i="12"/>
  <c r="L200" i="9" s="1"/>
  <c r="K185" i="12"/>
  <c r="N184" i="12"/>
  <c r="N199" i="9" s="1"/>
  <c r="J184" i="12"/>
  <c r="J199" i="9" s="1"/>
  <c r="I184" i="12"/>
  <c r="I199" i="9" s="1"/>
  <c r="H184" i="12"/>
  <c r="H199" i="9" s="1"/>
  <c r="N183" i="12"/>
  <c r="K183" i="12"/>
  <c r="I183" i="12"/>
  <c r="I198" i="9" s="1"/>
  <c r="N182" i="12"/>
  <c r="N197" i="9" s="1"/>
  <c r="M182" i="12"/>
  <c r="K182" i="12"/>
  <c r="K197" i="9" s="1"/>
  <c r="I182" i="12"/>
  <c r="I197" i="9" s="1"/>
  <c r="Q181" i="12"/>
  <c r="P181" i="12"/>
  <c r="O181" i="12"/>
  <c r="N181" i="12"/>
  <c r="L181" i="12"/>
  <c r="L196" i="9" s="1"/>
  <c r="E180" i="12"/>
  <c r="E195" i="9" s="1"/>
  <c r="N179" i="12"/>
  <c r="N194" i="9" s="1"/>
  <c r="J179" i="12"/>
  <c r="J194" i="9" s="1"/>
  <c r="I179" i="12"/>
  <c r="I194" i="9" s="1"/>
  <c r="H179" i="12"/>
  <c r="H194" i="9" s="1"/>
  <c r="Q178" i="12"/>
  <c r="Q193" i="9" s="1"/>
  <c r="P178" i="12"/>
  <c r="P193" i="9" s="1"/>
  <c r="O178" i="12"/>
  <c r="O193" i="9" s="1"/>
  <c r="M178" i="12"/>
  <c r="M193" i="9" s="1"/>
  <c r="L178" i="12"/>
  <c r="L193" i="9" s="1"/>
  <c r="K178" i="12"/>
  <c r="K193" i="9" s="1"/>
  <c r="N177" i="12"/>
  <c r="N192" i="9" s="1"/>
  <c r="K177" i="12"/>
  <c r="K192" i="9" s="1"/>
  <c r="I177" i="12"/>
  <c r="I192" i="9" s="1"/>
  <c r="N176" i="12"/>
  <c r="N191" i="9" s="1"/>
  <c r="K176" i="12"/>
  <c r="K191" i="9" s="1"/>
  <c r="I176" i="12"/>
  <c r="I191" i="9" s="1"/>
  <c r="N175" i="12"/>
  <c r="N190" i="9" s="1"/>
  <c r="J175" i="12"/>
  <c r="J190" i="9" s="1"/>
  <c r="I175" i="12"/>
  <c r="I190" i="9" s="1"/>
  <c r="H175" i="12"/>
  <c r="H190" i="9" s="1"/>
  <c r="G175" i="12"/>
  <c r="G190" i="9" s="1"/>
  <c r="Q174" i="12"/>
  <c r="P174" i="12"/>
  <c r="O174" i="12"/>
  <c r="M174" i="12"/>
  <c r="M189" i="9" s="1"/>
  <c r="L174" i="12"/>
  <c r="L189" i="9" s="1"/>
  <c r="E173" i="12"/>
  <c r="E188" i="9" s="1"/>
  <c r="N172" i="12"/>
  <c r="N187" i="9" s="1"/>
  <c r="J172" i="12"/>
  <c r="J187" i="9" s="1"/>
  <c r="I172" i="12"/>
  <c r="I187" i="9" s="1"/>
  <c r="H172" i="12"/>
  <c r="H187" i="9" s="1"/>
  <c r="G172" i="12"/>
  <c r="G187" i="9" s="1"/>
  <c r="N171" i="12"/>
  <c r="N186" i="9" s="1"/>
  <c r="K171" i="12"/>
  <c r="K186" i="9" s="1"/>
  <c r="I171" i="12"/>
  <c r="I186" i="9" s="1"/>
  <c r="N170" i="12"/>
  <c r="J170" i="12"/>
  <c r="I170" i="12"/>
  <c r="I185" i="9" s="1"/>
  <c r="H170" i="12"/>
  <c r="H185" i="9" s="1"/>
  <c r="Q169" i="12"/>
  <c r="P169" i="12"/>
  <c r="O169" i="12"/>
  <c r="O184" i="9" s="1"/>
  <c r="M169" i="12"/>
  <c r="M184" i="9" s="1"/>
  <c r="L169" i="12"/>
  <c r="O168" i="12"/>
  <c r="O183" i="9" s="1"/>
  <c r="M168" i="12"/>
  <c r="M183" i="9" s="1"/>
  <c r="E168" i="12"/>
  <c r="E183" i="9" s="1"/>
  <c r="D168" i="12"/>
  <c r="D183" i="9" s="1"/>
  <c r="N167" i="12"/>
  <c r="N182" i="9" s="1"/>
  <c r="J167" i="12"/>
  <c r="J182" i="9" s="1"/>
  <c r="I167" i="12"/>
  <c r="I182" i="9" s="1"/>
  <c r="H167" i="12"/>
  <c r="H182" i="9" s="1"/>
  <c r="Q166" i="12"/>
  <c r="Q181" i="9" s="1"/>
  <c r="P166" i="12"/>
  <c r="O166" i="12"/>
  <c r="O181" i="9" s="1"/>
  <c r="N166" i="12"/>
  <c r="N181" i="9" s="1"/>
  <c r="M166" i="12"/>
  <c r="M181" i="9" s="1"/>
  <c r="L166" i="12"/>
  <c r="L181" i="9" s="1"/>
  <c r="K166" i="12"/>
  <c r="K181" i="9" s="1"/>
  <c r="N165" i="12"/>
  <c r="N180" i="9" s="1"/>
  <c r="M165" i="12"/>
  <c r="K165" i="12"/>
  <c r="K180" i="9" s="1"/>
  <c r="I165" i="12"/>
  <c r="I180" i="9" s="1"/>
  <c r="Q164" i="12"/>
  <c r="P164" i="12"/>
  <c r="O164" i="12"/>
  <c r="O179" i="9" s="1"/>
  <c r="N164" i="12"/>
  <c r="N179" i="9" s="1"/>
  <c r="L164" i="12"/>
  <c r="L179" i="9" s="1"/>
  <c r="K164" i="12"/>
  <c r="K163" i="12" s="1"/>
  <c r="K178" i="9" s="1"/>
  <c r="L163" i="12"/>
  <c r="L178" i="9" s="1"/>
  <c r="E163" i="12"/>
  <c r="E178" i="9" s="1"/>
  <c r="C163" i="12"/>
  <c r="C178" i="9" s="1"/>
  <c r="N161" i="12"/>
  <c r="J161" i="12"/>
  <c r="I161" i="12"/>
  <c r="I176" i="9" s="1"/>
  <c r="H161" i="12"/>
  <c r="H176" i="9" s="1"/>
  <c r="Q160" i="12"/>
  <c r="Q175" i="9" s="1"/>
  <c r="P160" i="12"/>
  <c r="O160" i="12"/>
  <c r="M160" i="12"/>
  <c r="L160" i="12"/>
  <c r="I160" i="12" s="1"/>
  <c r="I175" i="9" s="1"/>
  <c r="K160" i="12"/>
  <c r="E159" i="12"/>
  <c r="E174" i="9" s="1"/>
  <c r="D159" i="12"/>
  <c r="D174" i="9" s="1"/>
  <c r="C159" i="12"/>
  <c r="C174" i="9" s="1"/>
  <c r="N158" i="12"/>
  <c r="J158" i="12"/>
  <c r="I158" i="12"/>
  <c r="I173" i="9" s="1"/>
  <c r="H158" i="12"/>
  <c r="H173" i="9" s="1"/>
  <c r="G158" i="12"/>
  <c r="G173" i="9" s="1"/>
  <c r="Q157" i="12"/>
  <c r="Q172" i="9" s="1"/>
  <c r="P157" i="12"/>
  <c r="O157" i="12"/>
  <c r="M157" i="12"/>
  <c r="L157" i="12"/>
  <c r="L172" i="9" s="1"/>
  <c r="K157" i="12"/>
  <c r="O156" i="12"/>
  <c r="L156" i="12"/>
  <c r="E156" i="12"/>
  <c r="E171" i="9" s="1"/>
  <c r="D156" i="12"/>
  <c r="D171" i="9" s="1"/>
  <c r="C156" i="12"/>
  <c r="C171" i="9" s="1"/>
  <c r="N155" i="12"/>
  <c r="J155" i="12"/>
  <c r="J170" i="9" s="1"/>
  <c r="I155" i="12"/>
  <c r="I170" i="9" s="1"/>
  <c r="H155" i="12"/>
  <c r="H170" i="9" s="1"/>
  <c r="Q154" i="12"/>
  <c r="P154" i="12"/>
  <c r="P169" i="9" s="1"/>
  <c r="O154" i="12"/>
  <c r="M154" i="12"/>
  <c r="M169" i="9" s="1"/>
  <c r="L154" i="12"/>
  <c r="K154" i="12"/>
  <c r="K169" i="9" s="1"/>
  <c r="I154" i="12"/>
  <c r="I169" i="9" s="1"/>
  <c r="P153" i="12"/>
  <c r="P168" i="9" s="1"/>
  <c r="M153" i="12"/>
  <c r="M168" i="9" s="1"/>
  <c r="E153" i="12"/>
  <c r="E168" i="9" s="1"/>
  <c r="D153" i="12"/>
  <c r="D168" i="9" s="1"/>
  <c r="C153" i="12"/>
  <c r="C168" i="9" s="1"/>
  <c r="N152" i="12"/>
  <c r="M152" i="12"/>
  <c r="M167" i="9" s="1"/>
  <c r="J152" i="12"/>
  <c r="J167" i="9" s="1"/>
  <c r="I152" i="12"/>
  <c r="I167" i="9" s="1"/>
  <c r="H152" i="12"/>
  <c r="H167" i="9" s="1"/>
  <c r="Q151" i="12"/>
  <c r="P151" i="12"/>
  <c r="O151" i="12"/>
  <c r="O166" i="9" s="1"/>
  <c r="L151" i="12"/>
  <c r="L166" i="9" s="1"/>
  <c r="K151" i="12"/>
  <c r="J151" i="12"/>
  <c r="J166" i="9" s="1"/>
  <c r="I151" i="12"/>
  <c r="I166" i="9" s="1"/>
  <c r="H151" i="12"/>
  <c r="H166" i="9" s="1"/>
  <c r="O150" i="12"/>
  <c r="O165" i="9" s="1"/>
  <c r="E150" i="12"/>
  <c r="E165" i="9" s="1"/>
  <c r="D150" i="12"/>
  <c r="D165" i="9" s="1"/>
  <c r="C150" i="12"/>
  <c r="C165" i="9" s="1"/>
  <c r="N149" i="12"/>
  <c r="N164" i="9" s="1"/>
  <c r="J149" i="12"/>
  <c r="J164" i="9" s="1"/>
  <c r="I149" i="12"/>
  <c r="I164" i="9" s="1"/>
  <c r="H149" i="12"/>
  <c r="H164" i="9" s="1"/>
  <c r="G149" i="12"/>
  <c r="G164" i="9" s="1"/>
  <c r="Q148" i="12"/>
  <c r="P148" i="12"/>
  <c r="P163" i="9" s="1"/>
  <c r="O148" i="12"/>
  <c r="N148" i="12"/>
  <c r="N163" i="9" s="1"/>
  <c r="M148" i="12"/>
  <c r="M163" i="9" s="1"/>
  <c r="L148" i="12"/>
  <c r="K148" i="12"/>
  <c r="K163" i="9" s="1"/>
  <c r="H148" i="12"/>
  <c r="H163" i="9" s="1"/>
  <c r="L147" i="12"/>
  <c r="K147" i="12"/>
  <c r="E147" i="12"/>
  <c r="E162" i="9" s="1"/>
  <c r="D147" i="12"/>
  <c r="D162" i="9" s="1"/>
  <c r="C147" i="12"/>
  <c r="C162" i="9" s="1"/>
  <c r="N146" i="12"/>
  <c r="N161" i="9" s="1"/>
  <c r="J146" i="12"/>
  <c r="I146" i="12"/>
  <c r="I161" i="9" s="1"/>
  <c r="H146" i="12"/>
  <c r="H161" i="9" s="1"/>
  <c r="Q145" i="12"/>
  <c r="P145" i="12"/>
  <c r="O145" i="12"/>
  <c r="O160" i="9" s="1"/>
  <c r="M145" i="12"/>
  <c r="M160" i="9" s="1"/>
  <c r="L145" i="12"/>
  <c r="L160" i="9" s="1"/>
  <c r="K145" i="12"/>
  <c r="K160" i="9" s="1"/>
  <c r="M144" i="12"/>
  <c r="M159" i="9" s="1"/>
  <c r="L144" i="12"/>
  <c r="L159" i="9" s="1"/>
  <c r="E144" i="12"/>
  <c r="E159" i="9" s="1"/>
  <c r="D144" i="12"/>
  <c r="D159" i="9" s="1"/>
  <c r="C144" i="12"/>
  <c r="C159" i="9" s="1"/>
  <c r="N143" i="12"/>
  <c r="N158" i="9" s="1"/>
  <c r="J143" i="12"/>
  <c r="J158" i="9" s="1"/>
  <c r="I143" i="12"/>
  <c r="I158" i="9" s="1"/>
  <c r="H143" i="12"/>
  <c r="H158" i="9" s="1"/>
  <c r="G143" i="12"/>
  <c r="G158" i="9" s="1"/>
  <c r="Q142" i="12"/>
  <c r="P142" i="12"/>
  <c r="O142" i="12"/>
  <c r="M142" i="12"/>
  <c r="M157" i="9" s="1"/>
  <c r="L142" i="12"/>
  <c r="L157" i="9" s="1"/>
  <c r="K142" i="12"/>
  <c r="K157" i="9" s="1"/>
  <c r="M141" i="12"/>
  <c r="M156" i="9" s="1"/>
  <c r="E141" i="12"/>
  <c r="E156" i="9" s="1"/>
  <c r="D141" i="12"/>
  <c r="D156" i="9" s="1"/>
  <c r="C141" i="12"/>
  <c r="C156" i="9" s="1"/>
  <c r="N140" i="12"/>
  <c r="N155" i="9" s="1"/>
  <c r="J140" i="12"/>
  <c r="I140" i="12"/>
  <c r="I155" i="9" s="1"/>
  <c r="H140" i="12"/>
  <c r="H155" i="9" s="1"/>
  <c r="Q139" i="12"/>
  <c r="Q154" i="9" s="1"/>
  <c r="P139" i="12"/>
  <c r="O139" i="12"/>
  <c r="O154" i="9" s="1"/>
  <c r="M139" i="12"/>
  <c r="L139" i="12"/>
  <c r="K139" i="12"/>
  <c r="Q138" i="12"/>
  <c r="Q153" i="9" s="1"/>
  <c r="O138" i="12"/>
  <c r="O153" i="9" s="1"/>
  <c r="K138" i="12"/>
  <c r="K153" i="9" s="1"/>
  <c r="E138" i="12"/>
  <c r="E153" i="9" s="1"/>
  <c r="D138" i="12"/>
  <c r="D153" i="9" s="1"/>
  <c r="C138" i="12"/>
  <c r="C153" i="9" s="1"/>
  <c r="N137" i="12"/>
  <c r="K137" i="12"/>
  <c r="K152" i="9" s="1"/>
  <c r="J137" i="12"/>
  <c r="I137" i="12"/>
  <c r="I152" i="9" s="1"/>
  <c r="N136" i="12"/>
  <c r="N151" i="9" s="1"/>
  <c r="K136" i="12"/>
  <c r="K151" i="9" s="1"/>
  <c r="J136" i="12"/>
  <c r="I136" i="12"/>
  <c r="I151" i="9" s="1"/>
  <c r="H136" i="12"/>
  <c r="H151" i="9" s="1"/>
  <c r="N135" i="12"/>
  <c r="N150" i="9" s="1"/>
  <c r="J135" i="12"/>
  <c r="J150" i="9" s="1"/>
  <c r="I135" i="12"/>
  <c r="I150" i="9" s="1"/>
  <c r="H135" i="12"/>
  <c r="H150" i="9" s="1"/>
  <c r="Q134" i="12"/>
  <c r="P134" i="12"/>
  <c r="O134" i="12"/>
  <c r="M134" i="12"/>
  <c r="M149" i="9" s="1"/>
  <c r="L134" i="12"/>
  <c r="L149" i="9" s="1"/>
  <c r="M133" i="12"/>
  <c r="M148" i="9" s="1"/>
  <c r="E133" i="12"/>
  <c r="E148" i="9" s="1"/>
  <c r="D133" i="12"/>
  <c r="D148" i="9" s="1"/>
  <c r="N130" i="12"/>
  <c r="J130" i="12"/>
  <c r="G130" i="12" s="1"/>
  <c r="G145" i="9" s="1"/>
  <c r="I130" i="12"/>
  <c r="I145" i="9" s="1"/>
  <c r="H130" i="12"/>
  <c r="H145" i="9" s="1"/>
  <c r="Q129" i="12"/>
  <c r="P129" i="12"/>
  <c r="O129" i="12"/>
  <c r="O144" i="9" s="1"/>
  <c r="M129" i="12"/>
  <c r="M144" i="9" s="1"/>
  <c r="L129" i="12"/>
  <c r="L144" i="9" s="1"/>
  <c r="K129" i="12"/>
  <c r="K144" i="9" s="1"/>
  <c r="M128" i="12"/>
  <c r="L128" i="12"/>
  <c r="L143" i="9" s="1"/>
  <c r="K128" i="12"/>
  <c r="K143" i="9" s="1"/>
  <c r="E128" i="12"/>
  <c r="E143" i="9" s="1"/>
  <c r="D128" i="12"/>
  <c r="D143" i="9" s="1"/>
  <c r="C128" i="12"/>
  <c r="C143" i="9" s="1"/>
  <c r="C127" i="12"/>
  <c r="C142" i="9" s="1"/>
  <c r="N126" i="12"/>
  <c r="J126" i="12"/>
  <c r="J125" i="12" s="1"/>
  <c r="I126" i="12"/>
  <c r="I141" i="9" s="1"/>
  <c r="H126" i="12"/>
  <c r="H141" i="9" s="1"/>
  <c r="Q125" i="12"/>
  <c r="Q140" i="9" s="1"/>
  <c r="P125" i="12"/>
  <c r="P140" i="9" s="1"/>
  <c r="O125" i="12"/>
  <c r="M125" i="12"/>
  <c r="M140" i="9" s="1"/>
  <c r="L125" i="12"/>
  <c r="I125" i="12" s="1"/>
  <c r="I140" i="9" s="1"/>
  <c r="K125" i="12"/>
  <c r="K140" i="9" s="1"/>
  <c r="H125" i="12"/>
  <c r="H140" i="9" s="1"/>
  <c r="K124" i="12"/>
  <c r="K139" i="9" s="1"/>
  <c r="E124" i="12"/>
  <c r="E139" i="9" s="1"/>
  <c r="D124" i="12"/>
  <c r="D139" i="9" s="1"/>
  <c r="C124" i="12"/>
  <c r="C139" i="9" s="1"/>
  <c r="N123" i="12"/>
  <c r="J123" i="12"/>
  <c r="I123" i="12"/>
  <c r="I138" i="9" s="1"/>
  <c r="H123" i="12"/>
  <c r="H138" i="9" s="1"/>
  <c r="Q122" i="12"/>
  <c r="Q137" i="9" s="1"/>
  <c r="P122" i="12"/>
  <c r="P137" i="9" s="1"/>
  <c r="O122" i="12"/>
  <c r="O137" i="9" s="1"/>
  <c r="M122" i="12"/>
  <c r="M137" i="9" s="1"/>
  <c r="L122" i="12"/>
  <c r="I122" i="12" s="1"/>
  <c r="I137" i="9" s="1"/>
  <c r="K122" i="12"/>
  <c r="Q121" i="12"/>
  <c r="Q136" i="9" s="1"/>
  <c r="P121" i="12"/>
  <c r="P136" i="9" s="1"/>
  <c r="O121" i="12"/>
  <c r="O136" i="9" s="1"/>
  <c r="M121" i="12"/>
  <c r="M136" i="9" s="1"/>
  <c r="E121" i="12"/>
  <c r="E136" i="9" s="1"/>
  <c r="D121" i="12"/>
  <c r="D136" i="9" s="1"/>
  <c r="C121" i="12"/>
  <c r="C136" i="9" s="1"/>
  <c r="N120" i="12"/>
  <c r="N135" i="9" s="1"/>
  <c r="L120" i="12"/>
  <c r="L135" i="9" s="1"/>
  <c r="K120" i="12"/>
  <c r="K135" i="9" s="1"/>
  <c r="N119" i="12"/>
  <c r="N134" i="9" s="1"/>
  <c r="L119" i="12"/>
  <c r="L134" i="9" s="1"/>
  <c r="K119" i="12"/>
  <c r="K134" i="9" s="1"/>
  <c r="I119" i="12"/>
  <c r="I134" i="9" s="1"/>
  <c r="H119" i="12"/>
  <c r="H134" i="9" s="1"/>
  <c r="N118" i="12"/>
  <c r="N133" i="9" s="1"/>
  <c r="J118" i="12"/>
  <c r="J133" i="9" s="1"/>
  <c r="I118" i="12"/>
  <c r="I133" i="9" s="1"/>
  <c r="H118" i="12"/>
  <c r="H133" i="9" s="1"/>
  <c r="Q117" i="12"/>
  <c r="Q132" i="9" s="1"/>
  <c r="P117" i="12"/>
  <c r="O117" i="12"/>
  <c r="O132" i="9" s="1"/>
  <c r="M117" i="12"/>
  <c r="Q116" i="12"/>
  <c r="Q131" i="9" s="1"/>
  <c r="E116" i="12"/>
  <c r="E131" i="9" s="1"/>
  <c r="D116" i="12"/>
  <c r="D131" i="9" s="1"/>
  <c r="N115" i="12"/>
  <c r="N130" i="9" s="1"/>
  <c r="J115" i="12"/>
  <c r="I115" i="12"/>
  <c r="I130" i="9" s="1"/>
  <c r="H115" i="12"/>
  <c r="H130" i="9" s="1"/>
  <c r="N114" i="12"/>
  <c r="N129" i="9" s="1"/>
  <c r="J114" i="12"/>
  <c r="J129" i="9" s="1"/>
  <c r="I114" i="12"/>
  <c r="I129" i="9" s="1"/>
  <c r="H114" i="12"/>
  <c r="H129" i="9" s="1"/>
  <c r="N113" i="12"/>
  <c r="N128" i="9" s="1"/>
  <c r="I113" i="12"/>
  <c r="I128" i="9" s="1"/>
  <c r="Q112" i="12"/>
  <c r="Q127" i="9" s="1"/>
  <c r="P112" i="12"/>
  <c r="P127" i="9" s="1"/>
  <c r="O112" i="12"/>
  <c r="M112" i="12"/>
  <c r="L112" i="12"/>
  <c r="L127" i="9" s="1"/>
  <c r="D112" i="12"/>
  <c r="D127" i="9" s="1"/>
  <c r="C112" i="12"/>
  <c r="C127" i="9" s="1"/>
  <c r="N110" i="12"/>
  <c r="N122" i="9" s="1"/>
  <c r="J110" i="12"/>
  <c r="J122" i="9" s="1"/>
  <c r="I110" i="12"/>
  <c r="I122" i="9" s="1"/>
  <c r="H110" i="12"/>
  <c r="H122" i="9" s="1"/>
  <c r="Q109" i="12"/>
  <c r="Q121" i="9" s="1"/>
  <c r="P109" i="12"/>
  <c r="P121" i="9" s="1"/>
  <c r="O109" i="12"/>
  <c r="O121" i="9" s="1"/>
  <c r="M109" i="12"/>
  <c r="L109" i="12"/>
  <c r="L121" i="9" s="1"/>
  <c r="K109" i="12"/>
  <c r="K121" i="9" s="1"/>
  <c r="J109" i="12"/>
  <c r="J121" i="9" s="1"/>
  <c r="H109" i="12"/>
  <c r="H121" i="9" s="1"/>
  <c r="Q108" i="12"/>
  <c r="Q120" i="9" s="1"/>
  <c r="J108" i="12"/>
  <c r="J120" i="9" s="1"/>
  <c r="E108" i="12"/>
  <c r="E120" i="9" s="1"/>
  <c r="D108" i="12"/>
  <c r="D120" i="9" s="1"/>
  <c r="C108" i="12"/>
  <c r="C120" i="9" s="1"/>
  <c r="N107" i="12"/>
  <c r="N119" i="9" s="1"/>
  <c r="J107" i="12"/>
  <c r="I107" i="12"/>
  <c r="I119" i="9" s="1"/>
  <c r="H107" i="12"/>
  <c r="H119" i="9" s="1"/>
  <c r="N106" i="12"/>
  <c r="N118" i="9" s="1"/>
  <c r="J106" i="12"/>
  <c r="I106" i="12"/>
  <c r="I118" i="9" s="1"/>
  <c r="H106" i="12"/>
  <c r="H118" i="9" s="1"/>
  <c r="Q105" i="12"/>
  <c r="Q117" i="9" s="1"/>
  <c r="P105" i="12"/>
  <c r="P117" i="9" s="1"/>
  <c r="O105" i="12"/>
  <c r="O117" i="9" s="1"/>
  <c r="M105" i="12"/>
  <c r="M117" i="9" s="1"/>
  <c r="L105" i="12"/>
  <c r="K105" i="12"/>
  <c r="N104" i="12"/>
  <c r="N116" i="9" s="1"/>
  <c r="J104" i="12"/>
  <c r="J116" i="9" s="1"/>
  <c r="I104" i="12"/>
  <c r="I116" i="9" s="1"/>
  <c r="H104" i="12"/>
  <c r="H116" i="9" s="1"/>
  <c r="N103" i="12"/>
  <c r="N115" i="9" s="1"/>
  <c r="L103" i="12"/>
  <c r="L115" i="9" s="1"/>
  <c r="K103" i="12"/>
  <c r="H103" i="12"/>
  <c r="H115" i="9" s="1"/>
  <c r="N102" i="12"/>
  <c r="N114" i="9" s="1"/>
  <c r="L102" i="12"/>
  <c r="K102" i="12"/>
  <c r="K114" i="9" s="1"/>
  <c r="N101" i="12"/>
  <c r="N113" i="9" s="1"/>
  <c r="J101" i="12"/>
  <c r="J113" i="9" s="1"/>
  <c r="I101" i="12"/>
  <c r="I113" i="9" s="1"/>
  <c r="H101" i="12"/>
  <c r="H113" i="9" s="1"/>
  <c r="G101" i="12"/>
  <c r="G113" i="9" s="1"/>
  <c r="Q100" i="12"/>
  <c r="Q112" i="9" s="1"/>
  <c r="P100" i="12"/>
  <c r="O100" i="12"/>
  <c r="M100" i="12"/>
  <c r="M112" i="9" s="1"/>
  <c r="Q99" i="12"/>
  <c r="M99" i="12"/>
  <c r="M111" i="9" s="1"/>
  <c r="D99" i="12"/>
  <c r="N98" i="12"/>
  <c r="J98" i="12"/>
  <c r="J110" i="9" s="1"/>
  <c r="I98" i="12"/>
  <c r="I110" i="9" s="1"/>
  <c r="H98" i="12"/>
  <c r="H110" i="9" s="1"/>
  <c r="N97" i="12"/>
  <c r="N109" i="9" s="1"/>
  <c r="J97" i="12"/>
  <c r="I97" i="12"/>
  <c r="I109" i="9" s="1"/>
  <c r="H97" i="12"/>
  <c r="H109" i="9" s="1"/>
  <c r="Q96" i="12"/>
  <c r="Q108" i="9" s="1"/>
  <c r="P96" i="12"/>
  <c r="P108" i="9" s="1"/>
  <c r="O96" i="12"/>
  <c r="M96" i="12"/>
  <c r="M108" i="9" s="1"/>
  <c r="L96" i="12"/>
  <c r="L108" i="9" s="1"/>
  <c r="K96" i="12"/>
  <c r="K108" i="9" s="1"/>
  <c r="Q95" i="12"/>
  <c r="Q107" i="9" s="1"/>
  <c r="P95" i="12"/>
  <c r="P107" i="9" s="1"/>
  <c r="M95" i="12"/>
  <c r="M107" i="9" s="1"/>
  <c r="L95" i="12"/>
  <c r="K95" i="12"/>
  <c r="D95" i="12"/>
  <c r="D107" i="9" s="1"/>
  <c r="C95" i="12"/>
  <c r="C107" i="9" s="1"/>
  <c r="N91" i="12"/>
  <c r="N91" i="9" s="1"/>
  <c r="K91" i="12"/>
  <c r="K91" i="9" s="1"/>
  <c r="I91" i="12"/>
  <c r="I91" i="9" s="1"/>
  <c r="H91" i="12"/>
  <c r="H91" i="9" s="1"/>
  <c r="Q90" i="12"/>
  <c r="Q90" i="9" s="1"/>
  <c r="P90" i="12"/>
  <c r="P90" i="9" s="1"/>
  <c r="O90" i="12"/>
  <c r="O90" i="9" s="1"/>
  <c r="N90" i="12"/>
  <c r="N90" i="9" s="1"/>
  <c r="M90" i="12"/>
  <c r="M90" i="9" s="1"/>
  <c r="L90" i="12"/>
  <c r="L90" i="9" s="1"/>
  <c r="N89" i="12"/>
  <c r="K89" i="12"/>
  <c r="H89" i="12" s="1"/>
  <c r="H89" i="9" s="1"/>
  <c r="J89" i="12"/>
  <c r="G89" i="12" s="1"/>
  <c r="G89" i="9" s="1"/>
  <c r="I89" i="12"/>
  <c r="I89" i="9" s="1"/>
  <c r="Q88" i="12"/>
  <c r="Q88" i="9" s="1"/>
  <c r="P88" i="12"/>
  <c r="O88" i="12"/>
  <c r="O88" i="9" s="1"/>
  <c r="M88" i="12"/>
  <c r="M88" i="9" s="1"/>
  <c r="L88" i="12"/>
  <c r="L88" i="9" s="1"/>
  <c r="N87" i="12"/>
  <c r="L87" i="12"/>
  <c r="K87" i="12"/>
  <c r="H87" i="12"/>
  <c r="H87" i="9" s="1"/>
  <c r="Q86" i="12"/>
  <c r="Q86" i="9" s="1"/>
  <c r="P86" i="12"/>
  <c r="P86" i="9" s="1"/>
  <c r="O86" i="12"/>
  <c r="O86" i="9" s="1"/>
  <c r="M86" i="12"/>
  <c r="M86" i="9" s="1"/>
  <c r="N85" i="12"/>
  <c r="K85" i="12"/>
  <c r="K85" i="9" s="1"/>
  <c r="J85" i="12"/>
  <c r="J85" i="9" s="1"/>
  <c r="I85" i="12"/>
  <c r="I85" i="9" s="1"/>
  <c r="Q84" i="12"/>
  <c r="Q84" i="9" s="1"/>
  <c r="P84" i="12"/>
  <c r="P84" i="9" s="1"/>
  <c r="O84" i="12"/>
  <c r="O84" i="9" s="1"/>
  <c r="M84" i="12"/>
  <c r="L84" i="12"/>
  <c r="L84" i="9" s="1"/>
  <c r="E83" i="12"/>
  <c r="E83" i="9" s="1"/>
  <c r="D83" i="12"/>
  <c r="D83" i="9" s="1"/>
  <c r="C83" i="12"/>
  <c r="C83" i="9" s="1"/>
  <c r="N81" i="12"/>
  <c r="N81" i="9" s="1"/>
  <c r="L81" i="12"/>
  <c r="L81" i="9" s="1"/>
  <c r="K81" i="12"/>
  <c r="K80" i="12" s="1"/>
  <c r="Q80" i="12"/>
  <c r="Q80" i="9" s="1"/>
  <c r="P80" i="12"/>
  <c r="P80" i="9" s="1"/>
  <c r="O80" i="12"/>
  <c r="O80" i="9" s="1"/>
  <c r="M80" i="12"/>
  <c r="L80" i="12"/>
  <c r="L80" i="9" s="1"/>
  <c r="E79" i="12"/>
  <c r="E79" i="9" s="1"/>
  <c r="D79" i="12"/>
  <c r="D79" i="9" s="1"/>
  <c r="C79" i="12"/>
  <c r="C79" i="9" s="1"/>
  <c r="E78" i="12"/>
  <c r="E78" i="9" s="1"/>
  <c r="D78" i="12"/>
  <c r="N76" i="12"/>
  <c r="L76" i="12"/>
  <c r="K76" i="12"/>
  <c r="J76" i="12" s="1"/>
  <c r="I76" i="12"/>
  <c r="I76" i="9" s="1"/>
  <c r="H76" i="12"/>
  <c r="H76" i="9" s="1"/>
  <c r="Q75" i="12"/>
  <c r="P75" i="12"/>
  <c r="P75" i="9" s="1"/>
  <c r="O75" i="12"/>
  <c r="O75" i="9" s="1"/>
  <c r="M75" i="12"/>
  <c r="M75" i="9" s="1"/>
  <c r="O74" i="12"/>
  <c r="M74" i="12"/>
  <c r="M74" i="9" s="1"/>
  <c r="E74" i="12"/>
  <c r="E74" i="9" s="1"/>
  <c r="D74" i="12"/>
  <c r="D74" i="9" s="1"/>
  <c r="C74" i="12"/>
  <c r="C74" i="9" s="1"/>
  <c r="N73" i="12"/>
  <c r="N73" i="9" s="1"/>
  <c r="K73" i="12"/>
  <c r="K73" i="9" s="1"/>
  <c r="J73" i="12"/>
  <c r="J73" i="9" s="1"/>
  <c r="I73" i="12"/>
  <c r="I73" i="9" s="1"/>
  <c r="N72" i="12"/>
  <c r="N72" i="9" s="1"/>
  <c r="L72" i="12"/>
  <c r="K72" i="12"/>
  <c r="H72" i="12" s="1"/>
  <c r="H72" i="9" s="1"/>
  <c r="N71" i="12"/>
  <c r="N71" i="9" s="1"/>
  <c r="J71" i="12"/>
  <c r="J71" i="9" s="1"/>
  <c r="I71" i="12"/>
  <c r="I71" i="9" s="1"/>
  <c r="H71" i="12"/>
  <c r="H71" i="9" s="1"/>
  <c r="Q70" i="12"/>
  <c r="Q70" i="9" s="1"/>
  <c r="P70" i="12"/>
  <c r="P70" i="9" s="1"/>
  <c r="O70" i="12"/>
  <c r="O70" i="9" s="1"/>
  <c r="M70" i="12"/>
  <c r="M70" i="9" s="1"/>
  <c r="N69" i="12"/>
  <c r="N69" i="9" s="1"/>
  <c r="L69" i="12"/>
  <c r="K69" i="12"/>
  <c r="K69" i="9" s="1"/>
  <c r="J69" i="12"/>
  <c r="Q68" i="12"/>
  <c r="Q68" i="9" s="1"/>
  <c r="P68" i="12"/>
  <c r="P68" i="9" s="1"/>
  <c r="O68" i="12"/>
  <c r="N68" i="12"/>
  <c r="N68" i="9" s="1"/>
  <c r="M68" i="12"/>
  <c r="M68" i="9" s="1"/>
  <c r="L68" i="12"/>
  <c r="L68" i="9" s="1"/>
  <c r="E67" i="12"/>
  <c r="D67" i="12"/>
  <c r="N65" i="12"/>
  <c r="J65" i="12"/>
  <c r="J64" i="12" s="1"/>
  <c r="I65" i="12"/>
  <c r="I65" i="9" s="1"/>
  <c r="Q64" i="12"/>
  <c r="P64" i="12"/>
  <c r="O64" i="12"/>
  <c r="N64" i="12"/>
  <c r="M64" i="12"/>
  <c r="L64" i="12"/>
  <c r="L64" i="9" s="1"/>
  <c r="K64" i="12"/>
  <c r="E63" i="12"/>
  <c r="E63" i="9" s="1"/>
  <c r="D63" i="12"/>
  <c r="C63" i="12"/>
  <c r="C63" i="9" s="1"/>
  <c r="N62" i="12"/>
  <c r="N62" i="9" s="1"/>
  <c r="J62" i="12"/>
  <c r="I62" i="12"/>
  <c r="I62" i="9" s="1"/>
  <c r="H62" i="12"/>
  <c r="H62" i="9" s="1"/>
  <c r="Q61" i="12"/>
  <c r="P61" i="12"/>
  <c r="P61" i="9" s="1"/>
  <c r="O61" i="12"/>
  <c r="M61" i="12"/>
  <c r="L61" i="12"/>
  <c r="L61" i="9" s="1"/>
  <c r="K61" i="12"/>
  <c r="K61" i="9" s="1"/>
  <c r="E60" i="12"/>
  <c r="E60" i="9" s="1"/>
  <c r="D60" i="12"/>
  <c r="D60" i="9" s="1"/>
  <c r="C60" i="12"/>
  <c r="C60" i="9" s="1"/>
  <c r="N59" i="12"/>
  <c r="N59" i="9" s="1"/>
  <c r="K59" i="12"/>
  <c r="K59" i="9" s="1"/>
  <c r="J59" i="12"/>
  <c r="I59" i="12"/>
  <c r="N58" i="12"/>
  <c r="N58" i="9" s="1"/>
  <c r="K58" i="12"/>
  <c r="K58" i="9" s="1"/>
  <c r="J58" i="12"/>
  <c r="I58" i="12"/>
  <c r="I58" i="9" s="1"/>
  <c r="H58" i="12"/>
  <c r="H58" i="9" s="1"/>
  <c r="Q57" i="12"/>
  <c r="Q57" i="9" s="1"/>
  <c r="P57" i="12"/>
  <c r="O57" i="12"/>
  <c r="O57" i="9" s="1"/>
  <c r="N57" i="12"/>
  <c r="M57" i="12"/>
  <c r="L57" i="12"/>
  <c r="L57" i="9" s="1"/>
  <c r="K57" i="12"/>
  <c r="K56" i="12" s="1"/>
  <c r="Q56" i="12"/>
  <c r="D56" i="12"/>
  <c r="D56" i="9" s="1"/>
  <c r="C56" i="12"/>
  <c r="C56" i="9" s="1"/>
  <c r="N54" i="12"/>
  <c r="N54" i="9" s="1"/>
  <c r="K54" i="12"/>
  <c r="I54" i="12"/>
  <c r="I54" i="9" s="1"/>
  <c r="N53" i="12"/>
  <c r="N53" i="9" s="1"/>
  <c r="L53" i="12"/>
  <c r="K53" i="12"/>
  <c r="I53" i="12"/>
  <c r="I53" i="9" s="1"/>
  <c r="N52" i="12"/>
  <c r="J52" i="12"/>
  <c r="J52" i="9" s="1"/>
  <c r="I52" i="12"/>
  <c r="I52" i="9" s="1"/>
  <c r="H52" i="12"/>
  <c r="H52" i="9" s="1"/>
  <c r="Q51" i="12"/>
  <c r="Q51" i="9" s="1"/>
  <c r="P51" i="12"/>
  <c r="P51" i="9" s="1"/>
  <c r="O51" i="12"/>
  <c r="M51" i="12"/>
  <c r="M51" i="9" s="1"/>
  <c r="Q50" i="12"/>
  <c r="Q50" i="9" s="1"/>
  <c r="P50" i="12"/>
  <c r="P50" i="9" s="1"/>
  <c r="E50" i="12"/>
  <c r="E50" i="9" s="1"/>
  <c r="D50" i="12"/>
  <c r="Q49" i="12"/>
  <c r="Q49" i="9" s="1"/>
  <c r="P49" i="12"/>
  <c r="P49" i="9" s="1"/>
  <c r="O49" i="12"/>
  <c r="O49" i="9" s="1"/>
  <c r="M49" i="12"/>
  <c r="M49" i="9" s="1"/>
  <c r="L49" i="12"/>
  <c r="L49" i="9" s="1"/>
  <c r="K49" i="12"/>
  <c r="K49" i="9" s="1"/>
  <c r="H49" i="12"/>
  <c r="H49" i="9" s="1"/>
  <c r="N48" i="12"/>
  <c r="N48" i="9" s="1"/>
  <c r="L48" i="12"/>
  <c r="I48" i="12"/>
  <c r="I48" i="9" s="1"/>
  <c r="Q47" i="12"/>
  <c r="P47" i="12"/>
  <c r="P47" i="9" s="1"/>
  <c r="O47" i="12"/>
  <c r="E47" i="12"/>
  <c r="D47" i="12"/>
  <c r="D47" i="9" s="1"/>
  <c r="C47" i="12"/>
  <c r="C47" i="9" s="1"/>
  <c r="N45" i="12"/>
  <c r="K45" i="12"/>
  <c r="K45" i="9" s="1"/>
  <c r="I45" i="12"/>
  <c r="I45" i="9" s="1"/>
  <c r="Q44" i="12"/>
  <c r="Q44" i="9" s="1"/>
  <c r="P44" i="12"/>
  <c r="P44" i="9" s="1"/>
  <c r="O44" i="12"/>
  <c r="M44" i="12"/>
  <c r="M44" i="9" s="1"/>
  <c r="L44" i="12"/>
  <c r="L44" i="9" s="1"/>
  <c r="N43" i="12"/>
  <c r="L43" i="12"/>
  <c r="K43" i="12"/>
  <c r="K43" i="9" s="1"/>
  <c r="Q42" i="12"/>
  <c r="Q42" i="9" s="1"/>
  <c r="P42" i="12"/>
  <c r="O42" i="12"/>
  <c r="O42" i="9" s="1"/>
  <c r="M42" i="12"/>
  <c r="L42" i="12"/>
  <c r="K42" i="12"/>
  <c r="K42" i="9" s="1"/>
  <c r="I42" i="12"/>
  <c r="I42" i="9" s="1"/>
  <c r="Q41" i="12"/>
  <c r="Q41" i="9" s="1"/>
  <c r="E41" i="12"/>
  <c r="E41" i="9" s="1"/>
  <c r="D41" i="12"/>
  <c r="D41" i="9" s="1"/>
  <c r="C41" i="12"/>
  <c r="C41" i="9" s="1"/>
  <c r="N40" i="12"/>
  <c r="J40" i="12"/>
  <c r="I40" i="12"/>
  <c r="I40" i="9" s="1"/>
  <c r="H40" i="12"/>
  <c r="H40" i="9" s="1"/>
  <c r="Q39" i="12"/>
  <c r="Q39" i="9" s="1"/>
  <c r="P39" i="12"/>
  <c r="P39" i="9" s="1"/>
  <c r="O39" i="12"/>
  <c r="O39" i="9" s="1"/>
  <c r="M39" i="12"/>
  <c r="M39" i="9" s="1"/>
  <c r="L39" i="12"/>
  <c r="L39" i="9" s="1"/>
  <c r="K39" i="12"/>
  <c r="K39" i="9" s="1"/>
  <c r="I39" i="12"/>
  <c r="I39" i="9" s="1"/>
  <c r="N38" i="12"/>
  <c r="N38" i="9" s="1"/>
  <c r="K38" i="12"/>
  <c r="K38" i="9" s="1"/>
  <c r="J38" i="12"/>
  <c r="I38" i="12"/>
  <c r="I38" i="9" s="1"/>
  <c r="H38" i="12"/>
  <c r="H38" i="9" s="1"/>
  <c r="Q37" i="12"/>
  <c r="Q37" i="9" s="1"/>
  <c r="P37" i="12"/>
  <c r="P37" i="9" s="1"/>
  <c r="O37" i="12"/>
  <c r="O37" i="9" s="1"/>
  <c r="N37" i="12"/>
  <c r="N37" i="9" s="1"/>
  <c r="M37" i="12"/>
  <c r="L37" i="12"/>
  <c r="K37" i="12"/>
  <c r="N36" i="12"/>
  <c r="N36" i="9" s="1"/>
  <c r="L36" i="12"/>
  <c r="L36" i="9" s="1"/>
  <c r="K36" i="12"/>
  <c r="Q35" i="12"/>
  <c r="Q35" i="9" s="1"/>
  <c r="P35" i="12"/>
  <c r="O35" i="12"/>
  <c r="M35" i="12"/>
  <c r="M35" i="9" s="1"/>
  <c r="K35" i="12"/>
  <c r="E34" i="12"/>
  <c r="E34" i="9" s="1"/>
  <c r="D34" i="12"/>
  <c r="D34" i="9" s="1"/>
  <c r="C34" i="12"/>
  <c r="C34" i="9" s="1"/>
  <c r="N33" i="12"/>
  <c r="K33" i="12"/>
  <c r="H33" i="12" s="1"/>
  <c r="H33" i="9" s="1"/>
  <c r="I33" i="12"/>
  <c r="I33" i="9" s="1"/>
  <c r="Q32" i="12"/>
  <c r="Q32" i="9" s="1"/>
  <c r="P32" i="12"/>
  <c r="P32" i="9" s="1"/>
  <c r="O32" i="12"/>
  <c r="O32" i="9" s="1"/>
  <c r="M32" i="12"/>
  <c r="M32" i="9" s="1"/>
  <c r="L32" i="12"/>
  <c r="L32" i="9" s="1"/>
  <c r="N31" i="12"/>
  <c r="J31" i="12"/>
  <c r="J31" i="9" s="1"/>
  <c r="I31" i="12"/>
  <c r="I31" i="9" s="1"/>
  <c r="H31" i="12"/>
  <c r="H31" i="9" s="1"/>
  <c r="Q30" i="12"/>
  <c r="Q30" i="9" s="1"/>
  <c r="P30" i="12"/>
  <c r="P30" i="9" s="1"/>
  <c r="O30" i="12"/>
  <c r="O30" i="9" s="1"/>
  <c r="M30" i="12"/>
  <c r="L30" i="12"/>
  <c r="K30" i="12"/>
  <c r="K30" i="9" s="1"/>
  <c r="O29" i="12"/>
  <c r="O29" i="9" s="1"/>
  <c r="E29" i="12"/>
  <c r="E29" i="9" s="1"/>
  <c r="D29" i="12"/>
  <c r="C29" i="12"/>
  <c r="C29" i="9" s="1"/>
  <c r="N28" i="12"/>
  <c r="N28" i="9" s="1"/>
  <c r="J28" i="12"/>
  <c r="J28" i="9" s="1"/>
  <c r="I28" i="12"/>
  <c r="I28" i="9" s="1"/>
  <c r="H28" i="12"/>
  <c r="H28" i="9" s="1"/>
  <c r="N27" i="12"/>
  <c r="N27" i="9" s="1"/>
  <c r="K27" i="12"/>
  <c r="I27" i="12"/>
  <c r="I27" i="9" s="1"/>
  <c r="Q26" i="12"/>
  <c r="Q26" i="9" s="1"/>
  <c r="P26" i="12"/>
  <c r="O26" i="12"/>
  <c r="O26" i="9" s="1"/>
  <c r="M26" i="12"/>
  <c r="L26" i="12"/>
  <c r="N25" i="12"/>
  <c r="N25" i="9" s="1"/>
  <c r="K25" i="12"/>
  <c r="K25" i="9" s="1"/>
  <c r="J25" i="12"/>
  <c r="J25" i="9" s="1"/>
  <c r="I25" i="12"/>
  <c r="I25" i="9" s="1"/>
  <c r="N24" i="12"/>
  <c r="K24" i="12"/>
  <c r="K22" i="12" s="1"/>
  <c r="I24" i="12"/>
  <c r="I24" i="9" s="1"/>
  <c r="N23" i="12"/>
  <c r="J23" i="12"/>
  <c r="J23" i="9" s="1"/>
  <c r="I23" i="12"/>
  <c r="I23" i="9" s="1"/>
  <c r="H23" i="12"/>
  <c r="H23" i="9" s="1"/>
  <c r="Q22" i="12"/>
  <c r="Q22" i="9" s="1"/>
  <c r="P22" i="12"/>
  <c r="P22" i="9" s="1"/>
  <c r="O22" i="12"/>
  <c r="O22" i="9" s="1"/>
  <c r="M22" i="12"/>
  <c r="M22" i="9" s="1"/>
  <c r="L22" i="12"/>
  <c r="L22" i="9" s="1"/>
  <c r="N21" i="12"/>
  <c r="N21" i="9" s="1"/>
  <c r="J21" i="12"/>
  <c r="J21" i="9" s="1"/>
  <c r="I21" i="12"/>
  <c r="I21" i="9" s="1"/>
  <c r="H21" i="12"/>
  <c r="H21" i="9" s="1"/>
  <c r="G21" i="12"/>
  <c r="G21" i="9" s="1"/>
  <c r="Q20" i="12"/>
  <c r="Q20" i="9" s="1"/>
  <c r="P20" i="12"/>
  <c r="P20" i="9" s="1"/>
  <c r="O20" i="12"/>
  <c r="O20" i="9" s="1"/>
  <c r="M20" i="12"/>
  <c r="M20" i="9" s="1"/>
  <c r="L20" i="12"/>
  <c r="K20" i="12"/>
  <c r="K20" i="9" s="1"/>
  <c r="M15" i="12"/>
  <c r="M15" i="9" s="1"/>
  <c r="Q14" i="12"/>
  <c r="Q14" i="9" s="1"/>
  <c r="P14" i="12"/>
  <c r="P14" i="9" s="1"/>
  <c r="O14" i="12"/>
  <c r="O14" i="9" s="1"/>
  <c r="M14" i="12"/>
  <c r="M14" i="9" s="1"/>
  <c r="L14" i="12"/>
  <c r="L14" i="9" s="1"/>
  <c r="Q13" i="12"/>
  <c r="Q13" i="9" s="1"/>
  <c r="P13" i="12"/>
  <c r="O13" i="12"/>
  <c r="O13" i="9" s="1"/>
  <c r="M13" i="12"/>
  <c r="Q12" i="12"/>
  <c r="P12" i="12"/>
  <c r="P12" i="9" s="1"/>
  <c r="O12" i="12"/>
  <c r="O12" i="9" s="1"/>
  <c r="M12" i="12"/>
  <c r="M12" i="9" s="1"/>
  <c r="O11" i="12"/>
  <c r="O11" i="9" s="1"/>
  <c r="Q10" i="12"/>
  <c r="Q10" i="9" s="1"/>
  <c r="P10" i="12"/>
  <c r="P10" i="9" s="1"/>
  <c r="O10" i="12"/>
  <c r="O10" i="9" s="1"/>
  <c r="N10" i="12"/>
  <c r="N10" i="9" s="1"/>
  <c r="M10" i="12"/>
  <c r="M10" i="9" s="1"/>
  <c r="L10" i="12"/>
  <c r="L10" i="9" s="1"/>
  <c r="K10" i="12"/>
  <c r="K10" i="9" s="1"/>
  <c r="J10" i="12"/>
  <c r="J10" i="9" s="1"/>
  <c r="P6" i="12"/>
  <c r="L6" i="12"/>
  <c r="J64" i="9" l="1"/>
  <c r="J63" i="12"/>
  <c r="J303" i="9"/>
  <c r="G288" i="12"/>
  <c r="G303" i="9" s="1"/>
  <c r="L371" i="9"/>
  <c r="K79" i="12"/>
  <c r="K79" i="9" s="1"/>
  <c r="K80" i="9"/>
  <c r="H80" i="12"/>
  <c r="H80" i="9" s="1"/>
  <c r="J124" i="12"/>
  <c r="J139" i="9" s="1"/>
  <c r="J140" i="9"/>
  <c r="G363" i="12"/>
  <c r="G402" i="9" s="1"/>
  <c r="J402" i="9"/>
  <c r="K56" i="9"/>
  <c r="G554" i="12"/>
  <c r="G614" i="9" s="1"/>
  <c r="G613" i="9"/>
  <c r="J75" i="12"/>
  <c r="J75" i="9" s="1"/>
  <c r="J76" i="9"/>
  <c r="G76" i="12"/>
  <c r="G76" i="9" s="1"/>
  <c r="H297" i="12"/>
  <c r="H330" i="9" s="1"/>
  <c r="K330" i="9"/>
  <c r="K22" i="9"/>
  <c r="H22" i="12"/>
  <c r="H22" i="9" s="1"/>
  <c r="G123" i="12"/>
  <c r="G138" i="9" s="1"/>
  <c r="J138" i="9"/>
  <c r="G190" i="12"/>
  <c r="G205" i="9" s="1"/>
  <c r="J205" i="9"/>
  <c r="D18" i="12"/>
  <c r="D18" i="9" s="1"/>
  <c r="D29" i="9"/>
  <c r="M56" i="12"/>
  <c r="M56" i="9" s="1"/>
  <c r="M57" i="9"/>
  <c r="N63" i="12"/>
  <c r="N63" i="9" s="1"/>
  <c r="N64" i="9"/>
  <c r="O83" i="12"/>
  <c r="I95" i="12"/>
  <c r="I107" i="9" s="1"/>
  <c r="L107" i="9"/>
  <c r="G115" i="12"/>
  <c r="J130" i="9"/>
  <c r="N129" i="12"/>
  <c r="N145" i="9"/>
  <c r="Q180" i="12"/>
  <c r="Q195" i="9" s="1"/>
  <c r="Q196" i="9"/>
  <c r="O304" i="12"/>
  <c r="O337" i="9" s="1"/>
  <c r="O338" i="9"/>
  <c r="O15" i="12"/>
  <c r="O15" i="9" s="1"/>
  <c r="M19" i="12"/>
  <c r="M26" i="9"/>
  <c r="N266" i="12"/>
  <c r="N282" i="9"/>
  <c r="M368" i="12"/>
  <c r="M407" i="9" s="1"/>
  <c r="M415" i="9"/>
  <c r="D127" i="12"/>
  <c r="D142" i="9" s="1"/>
  <c r="G137" i="12"/>
  <c r="G152" i="9" s="1"/>
  <c r="J152" i="9"/>
  <c r="O153" i="12"/>
  <c r="O168" i="9" s="1"/>
  <c r="O169" i="9"/>
  <c r="H183" i="12"/>
  <c r="H198" i="9" s="1"/>
  <c r="K198" i="9"/>
  <c r="P271" i="12"/>
  <c r="P286" i="9" s="1"/>
  <c r="P287" i="9"/>
  <c r="M279" i="12"/>
  <c r="M294" i="9" s="1"/>
  <c r="O431" i="12"/>
  <c r="O471" i="9"/>
  <c r="E430" i="12"/>
  <c r="E469" i="9" s="1"/>
  <c r="E474" i="9"/>
  <c r="P461" i="12"/>
  <c r="P511" i="9" s="1"/>
  <c r="N467" i="12"/>
  <c r="N520" i="9"/>
  <c r="M476" i="12"/>
  <c r="M526" i="9" s="1"/>
  <c r="N492" i="12"/>
  <c r="N542" i="9" s="1"/>
  <c r="L493" i="12"/>
  <c r="L543" i="9" s="1"/>
  <c r="L545" i="9"/>
  <c r="P497" i="12"/>
  <c r="P547" i="9" s="1"/>
  <c r="P548" i="9"/>
  <c r="N525" i="12"/>
  <c r="N585" i="9" s="1"/>
  <c r="N584" i="9"/>
  <c r="Q526" i="12"/>
  <c r="Q586" i="9" s="1"/>
  <c r="I528" i="12"/>
  <c r="I588" i="9" s="1"/>
  <c r="L588" i="9"/>
  <c r="Q529" i="12"/>
  <c r="Q590" i="9"/>
  <c r="G25" i="12"/>
  <c r="G25" i="9" s="1"/>
  <c r="N39" i="12"/>
  <c r="N39" i="9" s="1"/>
  <c r="N40" i="9"/>
  <c r="I43" i="12"/>
  <c r="I43" i="9" s="1"/>
  <c r="L43" i="9"/>
  <c r="P74" i="12"/>
  <c r="P74" i="9" s="1"/>
  <c r="C82" i="12"/>
  <c r="C82" i="9" s="1"/>
  <c r="L100" i="12"/>
  <c r="P116" i="12"/>
  <c r="P132" i="9"/>
  <c r="P128" i="12"/>
  <c r="P144" i="9"/>
  <c r="J148" i="12"/>
  <c r="Q159" i="12"/>
  <c r="Q174" i="9" s="1"/>
  <c r="M164" i="12"/>
  <c r="M180" i="9"/>
  <c r="N169" i="12"/>
  <c r="N185" i="9"/>
  <c r="O173" i="12"/>
  <c r="O188" i="9" s="1"/>
  <c r="O189" i="9"/>
  <c r="Q197" i="12"/>
  <c r="Q212" i="9" s="1"/>
  <c r="N219" i="12"/>
  <c r="N234" i="9" s="1"/>
  <c r="N235" i="9"/>
  <c r="Q228" i="12"/>
  <c r="Q243" i="9" s="1"/>
  <c r="Q249" i="9"/>
  <c r="O236" i="12"/>
  <c r="O251" i="9" s="1"/>
  <c r="O252" i="9"/>
  <c r="J240" i="12"/>
  <c r="J255" i="9" s="1"/>
  <c r="G251" i="12"/>
  <c r="G266" i="9" s="1"/>
  <c r="I257" i="12"/>
  <c r="I272" i="9" s="1"/>
  <c r="L272" i="9"/>
  <c r="K262" i="12"/>
  <c r="K277" i="9" s="1"/>
  <c r="P268" i="12"/>
  <c r="P283" i="9" s="1"/>
  <c r="N275" i="12"/>
  <c r="L297" i="12"/>
  <c r="Q304" i="12"/>
  <c r="Q337" i="9" s="1"/>
  <c r="I313" i="12"/>
  <c r="I346" i="9" s="1"/>
  <c r="J337" i="12"/>
  <c r="O342" i="12"/>
  <c r="O381" i="9" s="1"/>
  <c r="O382" i="9"/>
  <c r="K352" i="12"/>
  <c r="K391" i="9" s="1"/>
  <c r="O355" i="12"/>
  <c r="O394" i="9" s="1"/>
  <c r="O395" i="9"/>
  <c r="E368" i="12"/>
  <c r="E407" i="9" s="1"/>
  <c r="G370" i="12"/>
  <c r="N409" i="9"/>
  <c r="P376" i="12"/>
  <c r="P416" i="9"/>
  <c r="H380" i="12"/>
  <c r="H419" i="9" s="1"/>
  <c r="L393" i="12"/>
  <c r="L432" i="9" s="1"/>
  <c r="L433" i="9"/>
  <c r="N407" i="12"/>
  <c r="N447" i="9"/>
  <c r="G424" i="12"/>
  <c r="G463" i="9" s="1"/>
  <c r="J463" i="9"/>
  <c r="G429" i="12"/>
  <c r="G468" i="9" s="1"/>
  <c r="J468" i="9"/>
  <c r="P431" i="12"/>
  <c r="P470" i="9" s="1"/>
  <c r="P471" i="9"/>
  <c r="L437" i="12"/>
  <c r="L476" i="9" s="1"/>
  <c r="L477" i="9"/>
  <c r="I446" i="12"/>
  <c r="I485" i="9" s="1"/>
  <c r="H452" i="12"/>
  <c r="H491" i="9" s="1"/>
  <c r="I456" i="12"/>
  <c r="I506" i="9" s="1"/>
  <c r="L506" i="9"/>
  <c r="I462" i="12"/>
  <c r="I512" i="9" s="1"/>
  <c r="L512" i="9"/>
  <c r="O476" i="12"/>
  <c r="O526" i="9" s="1"/>
  <c r="G479" i="12"/>
  <c r="G529" i="9" s="1"/>
  <c r="J529" i="9"/>
  <c r="N482" i="12"/>
  <c r="N535" i="9"/>
  <c r="O492" i="12"/>
  <c r="O542" i="9" s="1"/>
  <c r="Q497" i="12"/>
  <c r="Q548" i="9"/>
  <c r="K503" i="12"/>
  <c r="K553" i="9" s="1"/>
  <c r="K555" i="9"/>
  <c r="G511" i="12"/>
  <c r="G561" i="9" s="1"/>
  <c r="J561" i="9"/>
  <c r="G518" i="12"/>
  <c r="G578" i="9" s="1"/>
  <c r="D514" i="12"/>
  <c r="D583" i="9"/>
  <c r="Q523" i="12"/>
  <c r="Q583" i="9" s="1"/>
  <c r="Q584" i="9"/>
  <c r="I537" i="12"/>
  <c r="I597" i="9" s="1"/>
  <c r="I596" i="9"/>
  <c r="Q552" i="12"/>
  <c r="Q612" i="9" s="1"/>
  <c r="N557" i="12"/>
  <c r="N621" i="9" s="1"/>
  <c r="O621" i="9"/>
  <c r="J560" i="12"/>
  <c r="K624" i="9"/>
  <c r="H563" i="12"/>
  <c r="H627" i="9" s="1"/>
  <c r="O565" i="12"/>
  <c r="K63" i="12"/>
  <c r="K64" i="9"/>
  <c r="D77" i="12"/>
  <c r="D77" i="9" s="1"/>
  <c r="D78" i="9"/>
  <c r="P156" i="12"/>
  <c r="P171" i="9" s="1"/>
  <c r="P172" i="9"/>
  <c r="Q359" i="12"/>
  <c r="Q398" i="9" s="1"/>
  <c r="Q399" i="9"/>
  <c r="G499" i="12"/>
  <c r="G549" i="9" s="1"/>
  <c r="J549" i="9"/>
  <c r="N32" i="12"/>
  <c r="N32" i="9" s="1"/>
  <c r="N33" i="9"/>
  <c r="H37" i="12"/>
  <c r="H37" i="9" s="1"/>
  <c r="K37" i="9"/>
  <c r="J53" i="12"/>
  <c r="K53" i="9"/>
  <c r="Q60" i="12"/>
  <c r="Q60" i="9" s="1"/>
  <c r="Q61" i="9"/>
  <c r="P221" i="12"/>
  <c r="P236" i="9" s="1"/>
  <c r="H287" i="12"/>
  <c r="H302" i="9" s="1"/>
  <c r="K302" i="9"/>
  <c r="M332" i="12"/>
  <c r="M372" i="9"/>
  <c r="I416" i="12"/>
  <c r="I455" i="9" s="1"/>
  <c r="P455" i="9"/>
  <c r="Q492" i="12"/>
  <c r="Q542" i="9" s="1"/>
  <c r="Q543" i="9"/>
  <c r="M514" i="12"/>
  <c r="M583" i="9"/>
  <c r="O562" i="12"/>
  <c r="O627" i="9"/>
  <c r="L47" i="12"/>
  <c r="L48" i="9"/>
  <c r="G62" i="12"/>
  <c r="G62" i="9" s="1"/>
  <c r="J62" i="9"/>
  <c r="O63" i="12"/>
  <c r="O63" i="9" s="1"/>
  <c r="O64" i="9"/>
  <c r="M127" i="9"/>
  <c r="Q147" i="12"/>
  <c r="Q162" i="9" s="1"/>
  <c r="Q163" i="9"/>
  <c r="O262" i="12"/>
  <c r="O278" i="9"/>
  <c r="K300" i="12"/>
  <c r="K334" i="9"/>
  <c r="I22" i="12"/>
  <c r="I22" i="9" s="1"/>
  <c r="N13" i="12"/>
  <c r="N13" i="9" s="1"/>
  <c r="N24" i="9"/>
  <c r="K26" i="12"/>
  <c r="K26" i="9" s="1"/>
  <c r="K27" i="9"/>
  <c r="P34" i="12"/>
  <c r="P34" i="9" s="1"/>
  <c r="P35" i="9"/>
  <c r="G38" i="12"/>
  <c r="G38" i="9" s="1"/>
  <c r="J38" i="9"/>
  <c r="J39" i="12"/>
  <c r="J40" i="9"/>
  <c r="L70" i="12"/>
  <c r="L72" i="9"/>
  <c r="I88" i="12"/>
  <c r="I88" i="9" s="1"/>
  <c r="P88" i="9"/>
  <c r="Q94" i="12"/>
  <c r="Q106" i="9" s="1"/>
  <c r="Q111" i="9"/>
  <c r="H211" i="12"/>
  <c r="H226" i="9" s="1"/>
  <c r="Q239" i="12"/>
  <c r="Q254" i="9" s="1"/>
  <c r="N310" i="12"/>
  <c r="P316" i="12"/>
  <c r="P349" i="9" s="1"/>
  <c r="P354" i="9"/>
  <c r="J352" i="12"/>
  <c r="J391" i="9" s="1"/>
  <c r="M400" i="12"/>
  <c r="M439" i="9" s="1"/>
  <c r="M440" i="9"/>
  <c r="G404" i="12"/>
  <c r="G443" i="9" s="1"/>
  <c r="Q439" i="12"/>
  <c r="Q478" i="9" s="1"/>
  <c r="Q482" i="9"/>
  <c r="N452" i="12"/>
  <c r="N491" i="9" s="1"/>
  <c r="N490" i="9"/>
  <c r="J503" i="12"/>
  <c r="J553" i="9" s="1"/>
  <c r="J555" i="9"/>
  <c r="L29" i="12"/>
  <c r="L30" i="9"/>
  <c r="M60" i="12"/>
  <c r="M60" i="9" s="1"/>
  <c r="M61" i="9"/>
  <c r="E66" i="12"/>
  <c r="E66" i="9" s="1"/>
  <c r="E67" i="9"/>
  <c r="Q79" i="12"/>
  <c r="O95" i="12"/>
  <c r="O107" i="9" s="1"/>
  <c r="O108" i="9"/>
  <c r="K108" i="12"/>
  <c r="K120" i="9" s="1"/>
  <c r="E127" i="12"/>
  <c r="E142" i="9" s="1"/>
  <c r="P133" i="12"/>
  <c r="P149" i="9"/>
  <c r="G183" i="12"/>
  <c r="N198" i="9"/>
  <c r="J195" i="12"/>
  <c r="J210" i="9" s="1"/>
  <c r="K210" i="12"/>
  <c r="K225" i="9" s="1"/>
  <c r="K226" i="9"/>
  <c r="H64" i="12"/>
  <c r="H64" i="9" s="1"/>
  <c r="G73" i="12"/>
  <c r="G73" i="9" s="1"/>
  <c r="N84" i="12"/>
  <c r="N85" i="9"/>
  <c r="I103" i="12"/>
  <c r="I115" i="9" s="1"/>
  <c r="O108" i="12"/>
  <c r="Q128" i="12"/>
  <c r="Q144" i="9"/>
  <c r="Q133" i="12"/>
  <c r="Q148" i="9" s="1"/>
  <c r="Q149" i="9"/>
  <c r="N134" i="12"/>
  <c r="N152" i="9"/>
  <c r="P138" i="12"/>
  <c r="P153" i="9" s="1"/>
  <c r="P154" i="9"/>
  <c r="Q153" i="12"/>
  <c r="Q168" i="9" s="1"/>
  <c r="Q169" i="9"/>
  <c r="M156" i="12"/>
  <c r="M171" i="9" s="1"/>
  <c r="M172" i="9"/>
  <c r="H171" i="12"/>
  <c r="H186" i="9" s="1"/>
  <c r="P173" i="12"/>
  <c r="P188" i="9" s="1"/>
  <c r="P189" i="9"/>
  <c r="H178" i="12"/>
  <c r="H193" i="9" s="1"/>
  <c r="G184" i="12"/>
  <c r="G199" i="9" s="1"/>
  <c r="N185" i="12"/>
  <c r="N200" i="9" s="1"/>
  <c r="N201" i="9"/>
  <c r="L197" i="12"/>
  <c r="L213" i="9"/>
  <c r="G233" i="12"/>
  <c r="P236" i="12"/>
  <c r="P251" i="9" s="1"/>
  <c r="P252" i="9"/>
  <c r="O243" i="12"/>
  <c r="O258" i="9" s="1"/>
  <c r="N255" i="12"/>
  <c r="N272" i="9"/>
  <c r="P262" i="12"/>
  <c r="P277" i="9" s="1"/>
  <c r="Q279" i="12"/>
  <c r="I289" i="12"/>
  <c r="I304" i="9" s="1"/>
  <c r="L304" i="9"/>
  <c r="M297" i="12"/>
  <c r="M330" i="9" s="1"/>
  <c r="G299" i="12"/>
  <c r="G332" i="9" s="1"/>
  <c r="J332" i="9"/>
  <c r="G302" i="12"/>
  <c r="G335" i="9" s="1"/>
  <c r="J335" i="9"/>
  <c r="J338" i="9"/>
  <c r="P309" i="12"/>
  <c r="P342" i="9" s="1"/>
  <c r="P343" i="9"/>
  <c r="G322" i="12"/>
  <c r="Q323" i="12"/>
  <c r="Q356" i="9" s="1"/>
  <c r="Q357" i="9"/>
  <c r="O332" i="12"/>
  <c r="O371" i="9" s="1"/>
  <c r="P342" i="12"/>
  <c r="P381" i="9" s="1"/>
  <c r="P382" i="9"/>
  <c r="K345" i="12"/>
  <c r="K385" i="9"/>
  <c r="O352" i="12"/>
  <c r="H363" i="12"/>
  <c r="H402" i="9" s="1"/>
  <c r="K402" i="9"/>
  <c r="I380" i="12"/>
  <c r="I419" i="9" s="1"/>
  <c r="M393" i="12"/>
  <c r="M432" i="9" s="1"/>
  <c r="M433" i="9"/>
  <c r="G409" i="12"/>
  <c r="G412" i="12"/>
  <c r="G451" i="9" s="1"/>
  <c r="J451" i="9"/>
  <c r="H416" i="12"/>
  <c r="H455" i="9" s="1"/>
  <c r="K455" i="9"/>
  <c r="P418" i="12"/>
  <c r="P457" i="9" s="1"/>
  <c r="N419" i="12"/>
  <c r="N460" i="9"/>
  <c r="K466" i="9"/>
  <c r="J433" i="12"/>
  <c r="J472" i="9" s="1"/>
  <c r="M437" i="12"/>
  <c r="M476" i="9" s="1"/>
  <c r="M477" i="9"/>
  <c r="I445" i="12"/>
  <c r="I484" i="9" s="1"/>
  <c r="I483" i="9"/>
  <c r="M456" i="12"/>
  <c r="J465" i="12"/>
  <c r="J515" i="9" s="1"/>
  <c r="K515" i="9"/>
  <c r="G468" i="12"/>
  <c r="G518" i="9" s="1"/>
  <c r="G496" i="12"/>
  <c r="G546" i="9" s="1"/>
  <c r="N508" i="12"/>
  <c r="N561" i="9"/>
  <c r="G516" i="12"/>
  <c r="J576" i="9"/>
  <c r="I525" i="12"/>
  <c r="I585" i="9" s="1"/>
  <c r="J537" i="12"/>
  <c r="J597" i="9" s="1"/>
  <c r="J596" i="9"/>
  <c r="P556" i="12"/>
  <c r="P621" i="9"/>
  <c r="L559" i="12"/>
  <c r="L623" i="9" s="1"/>
  <c r="L624" i="9"/>
  <c r="I563" i="12"/>
  <c r="I627" i="9" s="1"/>
  <c r="Q565" i="12"/>
  <c r="Q629" i="9" s="1"/>
  <c r="H283" i="12"/>
  <c r="H298" i="9" s="1"/>
  <c r="K298" i="9"/>
  <c r="N345" i="12"/>
  <c r="N384" i="9" s="1"/>
  <c r="N385" i="9"/>
  <c r="G349" i="12"/>
  <c r="G388" i="9" s="1"/>
  <c r="J388" i="9"/>
  <c r="D408" i="9"/>
  <c r="J406" i="12"/>
  <c r="J445" i="9" s="1"/>
  <c r="J446" i="9"/>
  <c r="I425" i="12"/>
  <c r="I464" i="9" s="1"/>
  <c r="L464" i="9"/>
  <c r="M430" i="12"/>
  <c r="M469" i="9" s="1"/>
  <c r="M474" i="9"/>
  <c r="G459" i="12"/>
  <c r="G509" i="9" s="1"/>
  <c r="J509" i="9"/>
  <c r="L502" i="12"/>
  <c r="L552" i="9" s="1"/>
  <c r="L553" i="9"/>
  <c r="M159" i="12"/>
  <c r="M174" i="9" s="1"/>
  <c r="M175" i="9"/>
  <c r="O259" i="12"/>
  <c r="O274" i="9" s="1"/>
  <c r="O275" i="9"/>
  <c r="M34" i="12"/>
  <c r="M34" i="9" s="1"/>
  <c r="M37" i="9"/>
  <c r="O41" i="12"/>
  <c r="O41" i="9" s="1"/>
  <c r="O44" i="9"/>
  <c r="P159" i="12"/>
  <c r="P174" i="9" s="1"/>
  <c r="P175" i="9"/>
  <c r="L168" i="12"/>
  <c r="L184" i="9"/>
  <c r="H185" i="12"/>
  <c r="H200" i="9" s="1"/>
  <c r="K200" i="9"/>
  <c r="K217" i="9"/>
  <c r="I219" i="12"/>
  <c r="I234" i="9" s="1"/>
  <c r="L234" i="9"/>
  <c r="G231" i="12"/>
  <c r="G246" i="9" s="1"/>
  <c r="J246" i="9"/>
  <c r="O254" i="12"/>
  <c r="O269" i="9" s="1"/>
  <c r="O270" i="9"/>
  <c r="K339" i="12"/>
  <c r="K379" i="9"/>
  <c r="G225" i="12"/>
  <c r="G240" i="9" s="1"/>
  <c r="J240" i="9"/>
  <c r="L381" i="9"/>
  <c r="N352" i="12"/>
  <c r="N391" i="9" s="1"/>
  <c r="N392" i="9"/>
  <c r="G58" i="12"/>
  <c r="G58" i="9" s="1"/>
  <c r="J58" i="9"/>
  <c r="D66" i="12"/>
  <c r="D66" i="9" s="1"/>
  <c r="D67" i="9"/>
  <c r="O74" i="9"/>
  <c r="E77" i="12"/>
  <c r="E77" i="9" s="1"/>
  <c r="P79" i="12"/>
  <c r="O133" i="12"/>
  <c r="O148" i="9" s="1"/>
  <c r="O149" i="9"/>
  <c r="N139" i="12"/>
  <c r="G146" i="12"/>
  <c r="G161" i="9" s="1"/>
  <c r="K156" i="12"/>
  <c r="K171" i="9" s="1"/>
  <c r="K172" i="9"/>
  <c r="G170" i="12"/>
  <c r="G185" i="9" s="1"/>
  <c r="J185" i="9"/>
  <c r="N192" i="12"/>
  <c r="N207" i="9" s="1"/>
  <c r="O207" i="12"/>
  <c r="O222" i="9" s="1"/>
  <c r="O223" i="9"/>
  <c r="H226" i="12"/>
  <c r="H241" i="9" s="1"/>
  <c r="K241" i="9"/>
  <c r="P228" i="12"/>
  <c r="P243" i="9" s="1"/>
  <c r="P244" i="9"/>
  <c r="I232" i="12"/>
  <c r="I247" i="9" s="1"/>
  <c r="L247" i="9"/>
  <c r="N237" i="12"/>
  <c r="N244" i="12"/>
  <c r="N260" i="9"/>
  <c r="Q249" i="12"/>
  <c r="Q264" i="9" s="1"/>
  <c r="Q265" i="9"/>
  <c r="H257" i="12"/>
  <c r="H272" i="9" s="1"/>
  <c r="K272" i="9"/>
  <c r="M268" i="12"/>
  <c r="M283" i="9" s="1"/>
  <c r="M274" i="12"/>
  <c r="M289" i="9" s="1"/>
  <c r="M290" i="9"/>
  <c r="M342" i="12"/>
  <c r="M381" i="9" s="1"/>
  <c r="M382" i="9"/>
  <c r="N356" i="12"/>
  <c r="M359" i="12"/>
  <c r="M398" i="9" s="1"/>
  <c r="Q548" i="12"/>
  <c r="I552" i="12"/>
  <c r="I612" i="9" s="1"/>
  <c r="P612" i="9"/>
  <c r="M556" i="12"/>
  <c r="M620" i="9" s="1"/>
  <c r="M621" i="9"/>
  <c r="L19" i="12"/>
  <c r="L19" i="9" s="1"/>
  <c r="L20" i="9"/>
  <c r="K70" i="12"/>
  <c r="K70" i="9" s="1"/>
  <c r="N14" i="12"/>
  <c r="N14" i="9" s="1"/>
  <c r="H25" i="12"/>
  <c r="H25" i="9" s="1"/>
  <c r="M29" i="12"/>
  <c r="M29" i="9" s="1"/>
  <c r="M30" i="9"/>
  <c r="J36" i="12"/>
  <c r="J36" i="9" s="1"/>
  <c r="K36" i="9"/>
  <c r="N42" i="12"/>
  <c r="N42" i="9" s="1"/>
  <c r="N43" i="9"/>
  <c r="E46" i="12"/>
  <c r="E46" i="9" s="1"/>
  <c r="E47" i="9"/>
  <c r="N49" i="12"/>
  <c r="N49" i="9" s="1"/>
  <c r="N61" i="12"/>
  <c r="D82" i="12"/>
  <c r="D82" i="9" s="1"/>
  <c r="N20" i="12"/>
  <c r="N20" i="9" s="1"/>
  <c r="H39" i="12"/>
  <c r="H39" i="9" s="1"/>
  <c r="I44" i="12"/>
  <c r="I44" i="9" s="1"/>
  <c r="N51" i="12"/>
  <c r="N52" i="9"/>
  <c r="O56" i="12"/>
  <c r="O56" i="9" s="1"/>
  <c r="I14" i="12"/>
  <c r="I14" i="9" s="1"/>
  <c r="I59" i="9"/>
  <c r="O60" i="12"/>
  <c r="O61" i="9"/>
  <c r="K68" i="12"/>
  <c r="H73" i="12"/>
  <c r="H73" i="9" s="1"/>
  <c r="C78" i="12"/>
  <c r="E82" i="12"/>
  <c r="E82" i="9" s="1"/>
  <c r="N100" i="12"/>
  <c r="N112" i="9" s="1"/>
  <c r="J103" i="12"/>
  <c r="K115" i="9"/>
  <c r="P108" i="12"/>
  <c r="P120" i="9" s="1"/>
  <c r="G135" i="12"/>
  <c r="G150" i="9" s="1"/>
  <c r="N142" i="12"/>
  <c r="K144" i="12"/>
  <c r="K159" i="9" s="1"/>
  <c r="J145" i="12"/>
  <c r="J161" i="9"/>
  <c r="I148" i="12"/>
  <c r="I163" i="9" s="1"/>
  <c r="L163" i="9"/>
  <c r="L150" i="12"/>
  <c r="N151" i="12"/>
  <c r="N167" i="9"/>
  <c r="H157" i="12"/>
  <c r="H172" i="9" s="1"/>
  <c r="O172" i="9"/>
  <c r="H160" i="12"/>
  <c r="H175" i="9" s="1"/>
  <c r="K175" i="9"/>
  <c r="J166" i="12"/>
  <c r="Q173" i="12"/>
  <c r="Q188" i="9" s="1"/>
  <c r="Q189" i="9"/>
  <c r="J178" i="12"/>
  <c r="J193" i="9" s="1"/>
  <c r="H190" i="12"/>
  <c r="H205" i="9" s="1"/>
  <c r="M198" i="12"/>
  <c r="J204" i="12"/>
  <c r="K219" i="9"/>
  <c r="M210" i="12"/>
  <c r="M225" i="9" s="1"/>
  <c r="M226" i="9"/>
  <c r="M221" i="12"/>
  <c r="M236" i="9" s="1"/>
  <c r="H224" i="12"/>
  <c r="H239" i="9" s="1"/>
  <c r="I240" i="12"/>
  <c r="I255" i="9" s="1"/>
  <c r="L255" i="9"/>
  <c r="P243" i="12"/>
  <c r="P258" i="9" s="1"/>
  <c r="J247" i="12"/>
  <c r="J263" i="9"/>
  <c r="P254" i="12"/>
  <c r="P269" i="9" s="1"/>
  <c r="M259" i="12"/>
  <c r="M274" i="9" s="1"/>
  <c r="M275" i="9"/>
  <c r="Q262" i="12"/>
  <c r="Q277" i="9" s="1"/>
  <c r="P265" i="12"/>
  <c r="P280" i="9" s="1"/>
  <c r="P281" i="9"/>
  <c r="H269" i="12"/>
  <c r="H284" i="9" s="1"/>
  <c r="P274" i="12"/>
  <c r="P289" i="9" s="1"/>
  <c r="P290" i="9"/>
  <c r="I280" i="12"/>
  <c r="I295" i="9" s="1"/>
  <c r="L295" i="9"/>
  <c r="O289" i="12"/>
  <c r="O304" i="9" s="1"/>
  <c r="P297" i="12"/>
  <c r="P330" i="9" s="1"/>
  <c r="Q309" i="12"/>
  <c r="Q342" i="9" s="1"/>
  <c r="Q343" i="9"/>
  <c r="L312" i="12"/>
  <c r="L346" i="9"/>
  <c r="N317" i="12"/>
  <c r="N352" i="9"/>
  <c r="P332" i="12"/>
  <c r="P371" i="9" s="1"/>
  <c r="I337" i="12"/>
  <c r="I376" i="9" s="1"/>
  <c r="L376" i="9"/>
  <c r="G341" i="12"/>
  <c r="G380" i="9" s="1"/>
  <c r="N380" i="9"/>
  <c r="Q342" i="12"/>
  <c r="Q381" i="9" s="1"/>
  <c r="Q382" i="9"/>
  <c r="H353" i="12"/>
  <c r="H392" i="9" s="1"/>
  <c r="Q368" i="12"/>
  <c r="Q407" i="9" s="1"/>
  <c r="Q411" i="9"/>
  <c r="I378" i="12"/>
  <c r="I417" i="9" s="1"/>
  <c r="N388" i="12"/>
  <c r="H390" i="12"/>
  <c r="H429" i="9" s="1"/>
  <c r="H430" i="9"/>
  <c r="N394" i="12"/>
  <c r="Q400" i="12"/>
  <c r="Q439" i="9" s="1"/>
  <c r="Q440" i="9"/>
  <c r="J403" i="12"/>
  <c r="J442" i="9" s="1"/>
  <c r="J443" i="9"/>
  <c r="I407" i="12"/>
  <c r="I446" i="9" s="1"/>
  <c r="I419" i="12"/>
  <c r="I458" i="9" s="1"/>
  <c r="G422" i="12"/>
  <c r="G461" i="9" s="1"/>
  <c r="O427" i="12"/>
  <c r="O466" i="9" s="1"/>
  <c r="L430" i="12"/>
  <c r="L469" i="9" s="1"/>
  <c r="M433" i="12"/>
  <c r="O437" i="12"/>
  <c r="O476" i="9" s="1"/>
  <c r="O477" i="9"/>
  <c r="O456" i="12"/>
  <c r="O506" i="9" s="1"/>
  <c r="N462" i="12"/>
  <c r="N515" i="9"/>
  <c r="I477" i="12"/>
  <c r="I527" i="9" s="1"/>
  <c r="L527" i="9"/>
  <c r="Q481" i="12"/>
  <c r="Q531" i="9" s="1"/>
  <c r="Q532" i="9"/>
  <c r="M492" i="12"/>
  <c r="M543" i="9"/>
  <c r="M502" i="12"/>
  <c r="M552" i="9" s="1"/>
  <c r="G506" i="12"/>
  <c r="G556" i="9" s="1"/>
  <c r="O513" i="12"/>
  <c r="N515" i="12"/>
  <c r="N575" i="9" s="1"/>
  <c r="N576" i="9"/>
  <c r="H523" i="12"/>
  <c r="H583" i="9" s="1"/>
  <c r="I535" i="12"/>
  <c r="I595" i="9" s="1"/>
  <c r="I594" i="9"/>
  <c r="H547" i="12"/>
  <c r="H607" i="9" s="1"/>
  <c r="O47" i="9"/>
  <c r="L124" i="12"/>
  <c r="L140" i="9"/>
  <c r="N247" i="12"/>
  <c r="N263" i="9"/>
  <c r="E242" i="12"/>
  <c r="E257" i="9" s="1"/>
  <c r="E286" i="9"/>
  <c r="N290" i="12"/>
  <c r="N307" i="9"/>
  <c r="M79" i="12"/>
  <c r="M80" i="9"/>
  <c r="G106" i="12"/>
  <c r="G118" i="9" s="1"/>
  <c r="J118" i="9"/>
  <c r="P141" i="12"/>
  <c r="P156" i="9" s="1"/>
  <c r="P157" i="9"/>
  <c r="K254" i="12"/>
  <c r="K270" i="9"/>
  <c r="N272" i="12"/>
  <c r="N288" i="9"/>
  <c r="O312" i="12"/>
  <c r="O345" i="9" s="1"/>
  <c r="O346" i="9"/>
  <c r="I317" i="12"/>
  <c r="I350" i="9" s="1"/>
  <c r="L350" i="9"/>
  <c r="N333" i="12"/>
  <c r="N374" i="9"/>
  <c r="N336" i="12"/>
  <c r="N375" i="9" s="1"/>
  <c r="N376" i="9"/>
  <c r="H378" i="12"/>
  <c r="H417" i="9" s="1"/>
  <c r="K417" i="9"/>
  <c r="O379" i="12"/>
  <c r="O418" i="9" s="1"/>
  <c r="O423" i="9"/>
  <c r="H386" i="12"/>
  <c r="H425" i="9" s="1"/>
  <c r="H426" i="9"/>
  <c r="G391" i="12"/>
  <c r="J430" i="9"/>
  <c r="P393" i="12"/>
  <c r="P432" i="9" s="1"/>
  <c r="P433" i="9"/>
  <c r="K406" i="12"/>
  <c r="K446" i="9"/>
  <c r="G428" i="12"/>
  <c r="G467" i="9" s="1"/>
  <c r="J467" i="9"/>
  <c r="C430" i="12"/>
  <c r="C469" i="9" s="1"/>
  <c r="C470" i="9"/>
  <c r="G434" i="12"/>
  <c r="C439" i="12"/>
  <c r="C478" i="9" s="1"/>
  <c r="C482" i="9"/>
  <c r="H450" i="12"/>
  <c r="H489" i="9" s="1"/>
  <c r="K489" i="9"/>
  <c r="Q461" i="12"/>
  <c r="Q511" i="9" s="1"/>
  <c r="Q512" i="9"/>
  <c r="J490" i="12"/>
  <c r="J540" i="9" s="1"/>
  <c r="K540" i="9"/>
  <c r="N498" i="12"/>
  <c r="G498" i="12" s="1"/>
  <c r="G548" i="9" s="1"/>
  <c r="N549" i="9"/>
  <c r="I530" i="12"/>
  <c r="I590" i="9" s="1"/>
  <c r="I589" i="9"/>
  <c r="N546" i="12"/>
  <c r="N606" i="9" s="1"/>
  <c r="N605" i="9"/>
  <c r="J552" i="12"/>
  <c r="J612" i="9" s="1"/>
  <c r="J613" i="9"/>
  <c r="L565" i="12"/>
  <c r="L630" i="9"/>
  <c r="L15" i="12"/>
  <c r="L15" i="9" s="1"/>
  <c r="I37" i="12"/>
  <c r="I37" i="9" s="1"/>
  <c r="L37" i="9"/>
  <c r="H42" i="12"/>
  <c r="H42" i="9" s="1"/>
  <c r="Q46" i="12"/>
  <c r="Q46" i="9" s="1"/>
  <c r="Q47" i="9"/>
  <c r="D46" i="12"/>
  <c r="D46" i="9" s="1"/>
  <c r="D50" i="9"/>
  <c r="L51" i="12"/>
  <c r="L51" i="9" s="1"/>
  <c r="L53" i="9"/>
  <c r="M63" i="12"/>
  <c r="M63" i="9" s="1"/>
  <c r="M64" i="9"/>
  <c r="G71" i="12"/>
  <c r="G71" i="9" s="1"/>
  <c r="N80" i="12"/>
  <c r="K88" i="12"/>
  <c r="K89" i="9"/>
  <c r="H95" i="12"/>
  <c r="H107" i="9" s="1"/>
  <c r="K107" i="9"/>
  <c r="J96" i="12"/>
  <c r="J109" i="9"/>
  <c r="G104" i="12"/>
  <c r="N122" i="12"/>
  <c r="N138" i="9"/>
  <c r="O124" i="12"/>
  <c r="O139" i="9" s="1"/>
  <c r="O140" i="9"/>
  <c r="J129" i="12"/>
  <c r="J145" i="9"/>
  <c r="H138" i="12"/>
  <c r="H153" i="9" s="1"/>
  <c r="J139" i="12"/>
  <c r="J155" i="9"/>
  <c r="Q141" i="12"/>
  <c r="Q156" i="9" s="1"/>
  <c r="Q157" i="9"/>
  <c r="O147" i="12"/>
  <c r="O162" i="9" s="1"/>
  <c r="O163" i="9"/>
  <c r="N154" i="12"/>
  <c r="N170" i="9"/>
  <c r="O159" i="12"/>
  <c r="O174" i="9" s="1"/>
  <c r="O175" i="9"/>
  <c r="I169" i="12"/>
  <c r="I184" i="9" s="1"/>
  <c r="P180" i="12"/>
  <c r="P195" i="9" s="1"/>
  <c r="P196" i="9"/>
  <c r="I188" i="12"/>
  <c r="I203" i="9" s="1"/>
  <c r="L207" i="12"/>
  <c r="N208" i="12"/>
  <c r="N224" i="9"/>
  <c r="Q221" i="12"/>
  <c r="Q236" i="9" s="1"/>
  <c r="I231" i="12"/>
  <c r="I246" i="9" s="1"/>
  <c r="G238" i="12"/>
  <c r="G253" i="9" s="1"/>
  <c r="J253" i="9"/>
  <c r="K244" i="12"/>
  <c r="L246" i="12"/>
  <c r="L261" i="9" s="1"/>
  <c r="H252" i="12"/>
  <c r="H267" i="9" s="1"/>
  <c r="M254" i="12"/>
  <c r="M269" i="9" s="1"/>
  <c r="M270" i="9"/>
  <c r="J258" i="12"/>
  <c r="P259" i="12"/>
  <c r="P274" i="9" s="1"/>
  <c r="P275" i="9"/>
  <c r="M262" i="12"/>
  <c r="M277" i="9" s="1"/>
  <c r="M278" i="9"/>
  <c r="P279" i="12"/>
  <c r="P295" i="9"/>
  <c r="I290" i="12"/>
  <c r="I305" i="9" s="1"/>
  <c r="L305" i="9"/>
  <c r="J298" i="12"/>
  <c r="O300" i="12"/>
  <c r="O333" i="9" s="1"/>
  <c r="G303" i="12"/>
  <c r="J336" i="9"/>
  <c r="N305" i="12"/>
  <c r="G305" i="12" s="1"/>
  <c r="G338" i="9" s="1"/>
  <c r="K309" i="12"/>
  <c r="K342" i="9" s="1"/>
  <c r="G320" i="12"/>
  <c r="G353" i="9" s="1"/>
  <c r="J353" i="9"/>
  <c r="P323" i="12"/>
  <c r="P361" i="9"/>
  <c r="I333" i="12"/>
  <c r="I372" i="9" s="1"/>
  <c r="L372" i="9"/>
  <c r="J340" i="12"/>
  <c r="G350" i="12"/>
  <c r="L355" i="12"/>
  <c r="G357" i="12"/>
  <c r="G396" i="9" s="1"/>
  <c r="J396" i="9"/>
  <c r="P379" i="12"/>
  <c r="P418" i="9" s="1"/>
  <c r="P423" i="9"/>
  <c r="Q393" i="12"/>
  <c r="Q432" i="9" s="1"/>
  <c r="Q433" i="9"/>
  <c r="O418" i="12"/>
  <c r="O457" i="9" s="1"/>
  <c r="O458" i="9"/>
  <c r="H422" i="12"/>
  <c r="H461" i="9" s="1"/>
  <c r="K461" i="9"/>
  <c r="G426" i="12"/>
  <c r="G465" i="9" s="1"/>
  <c r="O439" i="12"/>
  <c r="O478" i="9" s="1"/>
  <c r="O485" i="9"/>
  <c r="C449" i="12"/>
  <c r="C488" i="9" s="1"/>
  <c r="I457" i="12"/>
  <c r="I507" i="9" s="1"/>
  <c r="L507" i="9"/>
  <c r="G463" i="12"/>
  <c r="G513" i="9" s="1"/>
  <c r="L516" i="9"/>
  <c r="P521" i="9"/>
  <c r="G474" i="12"/>
  <c r="G524" i="9" s="1"/>
  <c r="J524" i="9"/>
  <c r="N477" i="12"/>
  <c r="N530" i="9"/>
  <c r="O487" i="12"/>
  <c r="O537" i="9" s="1"/>
  <c r="L488" i="12"/>
  <c r="L538" i="9" s="1"/>
  <c r="L540" i="9"/>
  <c r="O502" i="12"/>
  <c r="O552" i="9" s="1"/>
  <c r="O553" i="9"/>
  <c r="I517" i="12"/>
  <c r="I577" i="9" s="1"/>
  <c r="J521" i="12"/>
  <c r="J581" i="9" s="1"/>
  <c r="H531" i="12"/>
  <c r="H591" i="9" s="1"/>
  <c r="O591" i="9"/>
  <c r="H539" i="12"/>
  <c r="H599" i="9" s="1"/>
  <c r="O599" i="9"/>
  <c r="H546" i="12"/>
  <c r="H606" i="9" s="1"/>
  <c r="M562" i="12"/>
  <c r="M626" i="9" s="1"/>
  <c r="M627" i="9"/>
  <c r="O99" i="12"/>
  <c r="O111" i="9" s="1"/>
  <c r="O112" i="9"/>
  <c r="O141" i="12"/>
  <c r="O156" i="9" s="1"/>
  <c r="O157" i="9"/>
  <c r="L159" i="12"/>
  <c r="L175" i="9"/>
  <c r="N180" i="12"/>
  <c r="N195" i="9" s="1"/>
  <c r="N196" i="9"/>
  <c r="O194" i="12"/>
  <c r="O209" i="9" s="1"/>
  <c r="O210" i="9"/>
  <c r="O197" i="12"/>
  <c r="O212" i="9" s="1"/>
  <c r="O213" i="9"/>
  <c r="G201" i="12"/>
  <c r="G216" i="9" s="1"/>
  <c r="N216" i="9"/>
  <c r="M203" i="12"/>
  <c r="M219" i="9"/>
  <c r="Q214" i="12"/>
  <c r="Q229" i="9" s="1"/>
  <c r="Q230" i="9"/>
  <c r="M239" i="12"/>
  <c r="M254" i="9" s="1"/>
  <c r="M255" i="9"/>
  <c r="C296" i="12"/>
  <c r="C329" i="9" s="1"/>
  <c r="C333" i="9"/>
  <c r="M312" i="12"/>
  <c r="M345" i="9" s="1"/>
  <c r="M346" i="9"/>
  <c r="G335" i="12"/>
  <c r="J374" i="9"/>
  <c r="K562" i="12"/>
  <c r="K626" i="9" s="1"/>
  <c r="K627" i="9"/>
  <c r="H207" i="12"/>
  <c r="H222" i="9" s="1"/>
  <c r="K222" i="9"/>
  <c r="O239" i="12"/>
  <c r="O254" i="9" s="1"/>
  <c r="O255" i="9"/>
  <c r="N88" i="12"/>
  <c r="N88" i="9" s="1"/>
  <c r="N89" i="9"/>
  <c r="Q259" i="12"/>
  <c r="Q274" i="9" s="1"/>
  <c r="Q275" i="9"/>
  <c r="H298" i="12"/>
  <c r="H331" i="9" s="1"/>
  <c r="K331" i="9"/>
  <c r="Q476" i="12"/>
  <c r="Q526" i="9" s="1"/>
  <c r="Q527" i="9"/>
  <c r="J498" i="12"/>
  <c r="J548" i="9" s="1"/>
  <c r="J550" i="9"/>
  <c r="N56" i="12"/>
  <c r="N56" i="9" s="1"/>
  <c r="N57" i="9"/>
  <c r="K86" i="12"/>
  <c r="K87" i="9"/>
  <c r="K150" i="12"/>
  <c r="K166" i="9"/>
  <c r="O342" i="9"/>
  <c r="N343" i="12"/>
  <c r="N383" i="9"/>
  <c r="K360" i="12"/>
  <c r="K399" i="9" s="1"/>
  <c r="K400" i="9"/>
  <c r="O359" i="12"/>
  <c r="O398" i="9" s="1"/>
  <c r="O405" i="9"/>
  <c r="H382" i="12"/>
  <c r="H421" i="9" s="1"/>
  <c r="H422" i="9"/>
  <c r="I390" i="12"/>
  <c r="I429" i="9" s="1"/>
  <c r="I428" i="9"/>
  <c r="O406" i="12"/>
  <c r="O445" i="9" s="1"/>
  <c r="O446" i="9"/>
  <c r="Q410" i="12"/>
  <c r="Q449" i="9" s="1"/>
  <c r="Q455" i="9"/>
  <c r="L433" i="12"/>
  <c r="L473" i="9"/>
  <c r="N457" i="12"/>
  <c r="N510" i="9"/>
  <c r="E486" i="12"/>
  <c r="E547" i="9"/>
  <c r="K498" i="12"/>
  <c r="K548" i="9" s="1"/>
  <c r="K550" i="9"/>
  <c r="Q502" i="12"/>
  <c r="Q552" i="9" s="1"/>
  <c r="Q553" i="9"/>
  <c r="L557" i="9"/>
  <c r="H530" i="12"/>
  <c r="H590" i="9" s="1"/>
  <c r="Q540" i="12"/>
  <c r="Q601" i="9"/>
  <c r="G551" i="12"/>
  <c r="G611" i="9" s="1"/>
  <c r="G610" i="9"/>
  <c r="L620" i="9"/>
  <c r="J559" i="12"/>
  <c r="J623" i="9" s="1"/>
  <c r="K623" i="9"/>
  <c r="P565" i="12"/>
  <c r="P629" i="9" s="1"/>
  <c r="P630" i="9"/>
  <c r="Q11" i="12"/>
  <c r="Q11" i="9" s="1"/>
  <c r="Q12" i="9"/>
  <c r="P15" i="12"/>
  <c r="P15" i="9" s="1"/>
  <c r="N26" i="12"/>
  <c r="N26" i="9" s="1"/>
  <c r="N30" i="12"/>
  <c r="N31" i="9"/>
  <c r="Q34" i="12"/>
  <c r="Q34" i="9" s="1"/>
  <c r="L41" i="12"/>
  <c r="L42" i="9"/>
  <c r="J54" i="12"/>
  <c r="J54" i="9" s="1"/>
  <c r="K54" i="9"/>
  <c r="P63" i="12"/>
  <c r="P63" i="9" s="1"/>
  <c r="P64" i="9"/>
  <c r="M83" i="12"/>
  <c r="M84" i="9"/>
  <c r="L86" i="12"/>
  <c r="L87" i="9"/>
  <c r="G107" i="12"/>
  <c r="J119" i="9"/>
  <c r="M108" i="12"/>
  <c r="M120" i="9" s="1"/>
  <c r="M121" i="9"/>
  <c r="N112" i="12"/>
  <c r="N127" i="9" s="1"/>
  <c r="M127" i="12"/>
  <c r="M143" i="9"/>
  <c r="H147" i="12"/>
  <c r="H162" i="9" s="1"/>
  <c r="K162" i="9"/>
  <c r="J157" i="12"/>
  <c r="J172" i="9" s="1"/>
  <c r="J173" i="9"/>
  <c r="P163" i="12"/>
  <c r="P178" i="9" s="1"/>
  <c r="P179" i="9"/>
  <c r="I166" i="12"/>
  <c r="I181" i="9" s="1"/>
  <c r="P181" i="9"/>
  <c r="N203" i="12"/>
  <c r="N220" i="9"/>
  <c r="H225" i="12"/>
  <c r="H240" i="9" s="1"/>
  <c r="K240" i="9"/>
  <c r="N226" i="12"/>
  <c r="N242" i="9"/>
  <c r="J234" i="12"/>
  <c r="J249" i="9" s="1"/>
  <c r="N250" i="12"/>
  <c r="N267" i="9"/>
  <c r="Q265" i="12"/>
  <c r="Q280" i="9" s="1"/>
  <c r="O268" i="12"/>
  <c r="O283" i="9" s="1"/>
  <c r="O284" i="9"/>
  <c r="Q316" i="12"/>
  <c r="Q349" i="9" s="1"/>
  <c r="Q350" i="9"/>
  <c r="M339" i="12"/>
  <c r="M378" i="9" s="1"/>
  <c r="M379" i="9"/>
  <c r="N403" i="9"/>
  <c r="E379" i="12"/>
  <c r="E418" i="9" s="1"/>
  <c r="K393" i="12"/>
  <c r="K432" i="9" s="1"/>
  <c r="K397" i="12"/>
  <c r="K437" i="9"/>
  <c r="L442" i="9"/>
  <c r="J414" i="12"/>
  <c r="K453" i="9"/>
  <c r="D416" i="12"/>
  <c r="G456" i="9"/>
  <c r="N423" i="12"/>
  <c r="N462" i="9" s="1"/>
  <c r="N427" i="12"/>
  <c r="N466" i="9" s="1"/>
  <c r="N467" i="9"/>
  <c r="M439" i="12"/>
  <c r="M478" i="9" s="1"/>
  <c r="I442" i="12"/>
  <c r="I481" i="9" s="1"/>
  <c r="I480" i="9"/>
  <c r="K439" i="12"/>
  <c r="K478" i="9" s="1"/>
  <c r="K482" i="9"/>
  <c r="G448" i="12"/>
  <c r="G487" i="9" s="1"/>
  <c r="G486" i="9"/>
  <c r="J449" i="12"/>
  <c r="J488" i="9" s="1"/>
  <c r="D455" i="12"/>
  <c r="D505" i="9" s="1"/>
  <c r="P466" i="12"/>
  <c r="P516" i="9" s="1"/>
  <c r="G469" i="12"/>
  <c r="G519" i="9" s="1"/>
  <c r="J519" i="9"/>
  <c r="I481" i="12"/>
  <c r="I531" i="9" s="1"/>
  <c r="L531" i="9"/>
  <c r="N488" i="12"/>
  <c r="M507" i="12"/>
  <c r="M557" i="9" s="1"/>
  <c r="H543" i="12"/>
  <c r="H603" i="9" s="1"/>
  <c r="H602" i="9"/>
  <c r="H551" i="12"/>
  <c r="H611" i="9" s="1"/>
  <c r="H610" i="9"/>
  <c r="H552" i="12"/>
  <c r="H612" i="9" s="1"/>
  <c r="K612" i="9"/>
  <c r="I554" i="12"/>
  <c r="I614" i="9" s="1"/>
  <c r="O556" i="12"/>
  <c r="K32" i="12"/>
  <c r="K33" i="9"/>
  <c r="N215" i="12"/>
  <c r="N233" i="9"/>
  <c r="I374" i="12"/>
  <c r="I413" i="9" s="1"/>
  <c r="I412" i="9"/>
  <c r="G399" i="12"/>
  <c r="G438" i="9" s="1"/>
  <c r="J438" i="9"/>
  <c r="I539" i="12"/>
  <c r="I599" i="9" s="1"/>
  <c r="L599" i="9"/>
  <c r="J88" i="12"/>
  <c r="J88" i="9" s="1"/>
  <c r="J89" i="9"/>
  <c r="P99" i="12"/>
  <c r="P111" i="9" s="1"/>
  <c r="P112" i="9"/>
  <c r="O279" i="12"/>
  <c r="O294" i="9" s="1"/>
  <c r="O295" i="9"/>
  <c r="G325" i="12"/>
  <c r="G358" i="9" s="1"/>
  <c r="J358" i="9"/>
  <c r="Q418" i="12"/>
  <c r="Q457" i="9" s="1"/>
  <c r="Q458" i="9"/>
  <c r="M427" i="12"/>
  <c r="M466" i="9" s="1"/>
  <c r="M467" i="9"/>
  <c r="L439" i="12"/>
  <c r="Q63" i="12"/>
  <c r="Q63" i="9" s="1"/>
  <c r="Q64" i="9"/>
  <c r="J68" i="12"/>
  <c r="J68" i="9" s="1"/>
  <c r="J69" i="9"/>
  <c r="O127" i="9"/>
  <c r="J119" i="12"/>
  <c r="L133" i="12"/>
  <c r="L148" i="9" s="1"/>
  <c r="N145" i="12"/>
  <c r="I147" i="12"/>
  <c r="I162" i="9" s="1"/>
  <c r="L162" i="9"/>
  <c r="J154" i="12"/>
  <c r="J169" i="9" s="1"/>
  <c r="I156" i="12"/>
  <c r="I171" i="9" s="1"/>
  <c r="L171" i="9"/>
  <c r="N157" i="12"/>
  <c r="N173" i="9"/>
  <c r="Q163" i="12"/>
  <c r="Q178" i="9" s="1"/>
  <c r="Q179" i="9"/>
  <c r="P168" i="12"/>
  <c r="P183" i="9" s="1"/>
  <c r="P184" i="9"/>
  <c r="G179" i="12"/>
  <c r="M181" i="12"/>
  <c r="M197" i="9"/>
  <c r="H203" i="12"/>
  <c r="H218" i="9" s="1"/>
  <c r="K218" i="9"/>
  <c r="G206" i="12"/>
  <c r="G221" i="9" s="1"/>
  <c r="H208" i="12"/>
  <c r="H223" i="9" s="1"/>
  <c r="N211" i="12"/>
  <c r="N227" i="9"/>
  <c r="J236" i="12"/>
  <c r="J251" i="9" s="1"/>
  <c r="J252" i="9"/>
  <c r="G281" i="12"/>
  <c r="G296" i="9" s="1"/>
  <c r="J296" i="9"/>
  <c r="Q289" i="12"/>
  <c r="Q304" i="9" s="1"/>
  <c r="Q305" i="9"/>
  <c r="N297" i="12"/>
  <c r="N330" i="9" s="1"/>
  <c r="N331" i="9"/>
  <c r="M300" i="12"/>
  <c r="M334" i="9"/>
  <c r="G306" i="12"/>
  <c r="G339" i="9" s="1"/>
  <c r="G310" i="12"/>
  <c r="G343" i="9" s="1"/>
  <c r="J343" i="9"/>
  <c r="G314" i="12"/>
  <c r="G347" i="9" s="1"/>
  <c r="J347" i="9"/>
  <c r="G318" i="12"/>
  <c r="G351" i="9" s="1"/>
  <c r="H327" i="12"/>
  <c r="H360" i="9" s="1"/>
  <c r="Q332" i="12"/>
  <c r="Q371" i="9" s="1"/>
  <c r="Q372" i="9"/>
  <c r="M336" i="12"/>
  <c r="M375" i="9" s="1"/>
  <c r="N339" i="12"/>
  <c r="N378" i="9" s="1"/>
  <c r="N379" i="9"/>
  <c r="I343" i="12"/>
  <c r="I382" i="9" s="1"/>
  <c r="P352" i="12"/>
  <c r="P391" i="9" s="1"/>
  <c r="P392" i="9"/>
  <c r="J356" i="12"/>
  <c r="J395" i="9" s="1"/>
  <c r="I362" i="12"/>
  <c r="I401" i="9" s="1"/>
  <c r="H364" i="12"/>
  <c r="H403" i="9" s="1"/>
  <c r="O403" i="9"/>
  <c r="I369" i="12"/>
  <c r="I408" i="9" s="1"/>
  <c r="P408" i="9"/>
  <c r="C368" i="12"/>
  <c r="C407" i="9" s="1"/>
  <c r="C411" i="9"/>
  <c r="J377" i="12"/>
  <c r="M379" i="12"/>
  <c r="M418" i="9" s="1"/>
  <c r="G383" i="12"/>
  <c r="J422" i="9"/>
  <c r="G385" i="12"/>
  <c r="G424" i="9" s="1"/>
  <c r="N424" i="9"/>
  <c r="L397" i="12"/>
  <c r="L436" i="9" s="1"/>
  <c r="L437" i="9"/>
  <c r="H401" i="12"/>
  <c r="H440" i="9" s="1"/>
  <c r="M410" i="12"/>
  <c r="M449" i="9" s="1"/>
  <c r="M450" i="9"/>
  <c r="L411" i="12"/>
  <c r="L453" i="9"/>
  <c r="I443" i="12"/>
  <c r="I482" i="9" s="1"/>
  <c r="L482" i="9"/>
  <c r="H448" i="12"/>
  <c r="H487" i="9" s="1"/>
  <c r="H486" i="9"/>
  <c r="K449" i="12"/>
  <c r="E455" i="12"/>
  <c r="E505" i="9" s="1"/>
  <c r="Q466" i="12"/>
  <c r="Q516" i="9" s="1"/>
  <c r="N472" i="12"/>
  <c r="N525" i="9"/>
  <c r="M481" i="12"/>
  <c r="M531" i="9" s="1"/>
  <c r="G491" i="12"/>
  <c r="G541" i="9" s="1"/>
  <c r="J541" i="9"/>
  <c r="G501" i="12"/>
  <c r="G551" i="9" s="1"/>
  <c r="O507" i="12"/>
  <c r="O557" i="9" s="1"/>
  <c r="J544" i="12"/>
  <c r="J604" i="9" s="1"/>
  <c r="H549" i="12"/>
  <c r="H609" i="9" s="1"/>
  <c r="H608" i="9"/>
  <c r="I551" i="12"/>
  <c r="I611" i="9" s="1"/>
  <c r="I610" i="9"/>
  <c r="J554" i="12"/>
  <c r="J614" i="9" s="1"/>
  <c r="O559" i="12"/>
  <c r="G561" i="12"/>
  <c r="G625" i="9" s="1"/>
  <c r="J625" i="9"/>
  <c r="Q56" i="9"/>
  <c r="N259" i="12"/>
  <c r="N274" i="9" s="1"/>
  <c r="N275" i="9"/>
  <c r="I531" i="12"/>
  <c r="I591" i="9" s="1"/>
  <c r="L591" i="9"/>
  <c r="H57" i="12"/>
  <c r="H57" i="9" s="1"/>
  <c r="K57" i="9"/>
  <c r="Q74" i="12"/>
  <c r="Q75" i="9"/>
  <c r="H164" i="12"/>
  <c r="H179" i="9" s="1"/>
  <c r="K179" i="9"/>
  <c r="O180" i="12"/>
  <c r="O195" i="9" s="1"/>
  <c r="O196" i="9"/>
  <c r="P197" i="12"/>
  <c r="P212" i="9" s="1"/>
  <c r="P213" i="9"/>
  <c r="D296" i="12"/>
  <c r="D329" i="9" s="1"/>
  <c r="D333" i="9"/>
  <c r="M187" i="12"/>
  <c r="M202" i="9" s="1"/>
  <c r="M203" i="9"/>
  <c r="P304" i="12"/>
  <c r="P337" i="9" s="1"/>
  <c r="P338" i="9"/>
  <c r="H326" i="12"/>
  <c r="H359" i="9" s="1"/>
  <c r="K359" i="9"/>
  <c r="L339" i="12"/>
  <c r="L378" i="9" s="1"/>
  <c r="L379" i="9"/>
  <c r="H442" i="12"/>
  <c r="H481" i="9" s="1"/>
  <c r="H480" i="9"/>
  <c r="M11" i="12"/>
  <c r="M11" i="9" s="1"/>
  <c r="M13" i="9"/>
  <c r="Q15" i="12"/>
  <c r="Q15" i="9" s="1"/>
  <c r="N22" i="12"/>
  <c r="N22" i="9" s="1"/>
  <c r="N23" i="9"/>
  <c r="P29" i="12"/>
  <c r="P29" i="9" s="1"/>
  <c r="I32" i="12"/>
  <c r="I32" i="9" s="1"/>
  <c r="K34" i="12"/>
  <c r="K35" i="9"/>
  <c r="M41" i="12"/>
  <c r="M41" i="9" s="1"/>
  <c r="M42" i="9"/>
  <c r="P56" i="12"/>
  <c r="P57" i="9"/>
  <c r="P60" i="12"/>
  <c r="P60" i="9" s="1"/>
  <c r="K75" i="12"/>
  <c r="K75" i="9" s="1"/>
  <c r="K76" i="9"/>
  <c r="N86" i="12"/>
  <c r="N86" i="9" s="1"/>
  <c r="N87" i="9"/>
  <c r="G136" i="12"/>
  <c r="G151" i="9" s="1"/>
  <c r="J151" i="9"/>
  <c r="P19" i="12"/>
  <c r="P26" i="9"/>
  <c r="Q29" i="12"/>
  <c r="Q29" i="9" s="1"/>
  <c r="G40" i="12"/>
  <c r="G40" i="9" s="1"/>
  <c r="J45" i="12"/>
  <c r="I49" i="12"/>
  <c r="I49" i="9" s="1"/>
  <c r="O50" i="12"/>
  <c r="O50" i="9" s="1"/>
  <c r="O51" i="9"/>
  <c r="C55" i="12"/>
  <c r="C55" i="9" s="1"/>
  <c r="D55" i="12"/>
  <c r="D55" i="9" s="1"/>
  <c r="D63" i="9"/>
  <c r="L75" i="12"/>
  <c r="L76" i="9"/>
  <c r="I81" i="12"/>
  <c r="I81" i="9" s="1"/>
  <c r="N96" i="12"/>
  <c r="N110" i="9"/>
  <c r="H105" i="12"/>
  <c r="H117" i="9" s="1"/>
  <c r="K117" i="9"/>
  <c r="O116" i="12"/>
  <c r="O131" i="9" s="1"/>
  <c r="K121" i="12"/>
  <c r="K137" i="9"/>
  <c r="M124" i="12"/>
  <c r="M139" i="9" s="1"/>
  <c r="G126" i="12"/>
  <c r="G141" i="9" s="1"/>
  <c r="J141" i="9"/>
  <c r="H139" i="12"/>
  <c r="H154" i="9" s="1"/>
  <c r="K154" i="9"/>
  <c r="M147" i="12"/>
  <c r="M162" i="9" s="1"/>
  <c r="P150" i="12"/>
  <c r="P165" i="9" s="1"/>
  <c r="P166" i="9"/>
  <c r="H156" i="12"/>
  <c r="H171" i="9" s="1"/>
  <c r="O171" i="9"/>
  <c r="J160" i="12"/>
  <c r="J176" i="9"/>
  <c r="H165" i="12"/>
  <c r="H180" i="9" s="1"/>
  <c r="G167" i="12"/>
  <c r="Q168" i="12"/>
  <c r="Q183" i="9" s="1"/>
  <c r="Q184" i="9"/>
  <c r="Q187" i="12"/>
  <c r="Q202" i="9" s="1"/>
  <c r="Q203" i="9"/>
  <c r="H192" i="12"/>
  <c r="H207" i="9" s="1"/>
  <c r="K207" i="9"/>
  <c r="N195" i="12"/>
  <c r="N211" i="9"/>
  <c r="O210" i="12"/>
  <c r="O225" i="9" s="1"/>
  <c r="H217" i="12"/>
  <c r="H232" i="9" s="1"/>
  <c r="L229" i="12"/>
  <c r="I229" i="12" s="1"/>
  <c r="I244" i="9" s="1"/>
  <c r="I239" i="12"/>
  <c r="I254" i="9" s="1"/>
  <c r="N240" i="12"/>
  <c r="N256" i="9"/>
  <c r="M249" i="12"/>
  <c r="M264" i="9" s="1"/>
  <c r="M265" i="9"/>
  <c r="H266" i="12"/>
  <c r="H281" i="9" s="1"/>
  <c r="Q274" i="12"/>
  <c r="Q289" i="9" s="1"/>
  <c r="N280" i="12"/>
  <c r="N296" i="9"/>
  <c r="M284" i="12"/>
  <c r="M299" i="9" s="1"/>
  <c r="M300" i="9"/>
  <c r="O297" i="12"/>
  <c r="O330" i="9" s="1"/>
  <c r="O331" i="9"/>
  <c r="J304" i="12"/>
  <c r="K312" i="12"/>
  <c r="N313" i="12"/>
  <c r="N347" i="9"/>
  <c r="M316" i="12"/>
  <c r="M349" i="9" s="1"/>
  <c r="M354" i="9"/>
  <c r="I324" i="12"/>
  <c r="I357" i="9" s="1"/>
  <c r="L357" i="9"/>
  <c r="G334" i="12"/>
  <c r="G373" i="9" s="1"/>
  <c r="J343" i="12"/>
  <c r="Q352" i="12"/>
  <c r="Q391" i="9" s="1"/>
  <c r="Q392" i="9"/>
  <c r="G358" i="12"/>
  <c r="N397" i="9"/>
  <c r="H362" i="12"/>
  <c r="H401" i="9" s="1"/>
  <c r="K401" i="9"/>
  <c r="K377" i="12"/>
  <c r="H377" i="12" s="1"/>
  <c r="H416" i="9" s="1"/>
  <c r="Q379" i="12"/>
  <c r="Q418" i="9" s="1"/>
  <c r="G381" i="12"/>
  <c r="I386" i="12"/>
  <c r="I425" i="9" s="1"/>
  <c r="H388" i="12"/>
  <c r="H427" i="9" s="1"/>
  <c r="O393" i="12"/>
  <c r="O432" i="9" s="1"/>
  <c r="I401" i="12"/>
  <c r="I440" i="9" s="1"/>
  <c r="O403" i="12"/>
  <c r="L406" i="12"/>
  <c r="L445" i="9" s="1"/>
  <c r="G408" i="12"/>
  <c r="G447" i="9" s="1"/>
  <c r="P427" i="12"/>
  <c r="P466" i="9" s="1"/>
  <c r="P467" i="9"/>
  <c r="I432" i="12"/>
  <c r="I471" i="9" s="1"/>
  <c r="P437" i="12"/>
  <c r="P476" i="9" s="1"/>
  <c r="I448" i="12"/>
  <c r="I487" i="9" s="1"/>
  <c r="I486" i="9"/>
  <c r="L449" i="12"/>
  <c r="L488" i="9" s="1"/>
  <c r="G451" i="12"/>
  <c r="L455" i="12"/>
  <c r="L505" i="9" s="1"/>
  <c r="G458" i="12"/>
  <c r="G508" i="9" s="1"/>
  <c r="L461" i="12"/>
  <c r="I467" i="12"/>
  <c r="I517" i="9" s="1"/>
  <c r="L517" i="9"/>
  <c r="O481" i="12"/>
  <c r="O531" i="9" s="1"/>
  <c r="G484" i="12"/>
  <c r="G534" i="9" s="1"/>
  <c r="J534" i="9"/>
  <c r="J544" i="9"/>
  <c r="L497" i="12"/>
  <c r="L547" i="9" s="1"/>
  <c r="L548" i="9"/>
  <c r="G504" i="12"/>
  <c r="G554" i="9" s="1"/>
  <c r="J554" i="9"/>
  <c r="P507" i="12"/>
  <c r="P557" i="9" s="1"/>
  <c r="J510" i="12"/>
  <c r="J560" i="9" s="1"/>
  <c r="K560" i="9"/>
  <c r="H515" i="12"/>
  <c r="H575" i="9" s="1"/>
  <c r="O575" i="9"/>
  <c r="H525" i="12"/>
  <c r="H585" i="9" s="1"/>
  <c r="H584" i="9"/>
  <c r="I527" i="12"/>
  <c r="I587" i="9" s="1"/>
  <c r="I586" i="9"/>
  <c r="N535" i="12"/>
  <c r="N595" i="9" s="1"/>
  <c r="G538" i="12"/>
  <c r="G542" i="12"/>
  <c r="J602" i="9"/>
  <c r="H557" i="12"/>
  <c r="H621" i="9" s="1"/>
  <c r="D94" i="12"/>
  <c r="D106" i="9" s="1"/>
  <c r="D111" i="9"/>
  <c r="I105" i="12"/>
  <c r="I117" i="9" s="1"/>
  <c r="L117" i="9"/>
  <c r="L121" i="12"/>
  <c r="L137" i="9"/>
  <c r="P124" i="12"/>
  <c r="P139" i="9" s="1"/>
  <c r="N125" i="12"/>
  <c r="N141" i="9"/>
  <c r="L138" i="12"/>
  <c r="L154" i="9"/>
  <c r="P144" i="12"/>
  <c r="P160" i="9"/>
  <c r="N147" i="12"/>
  <c r="N162" i="9" s="1"/>
  <c r="Q150" i="12"/>
  <c r="Q165" i="9" s="1"/>
  <c r="Q166" i="9"/>
  <c r="L153" i="12"/>
  <c r="L169" i="9"/>
  <c r="Q156" i="12"/>
  <c r="Q171" i="9" s="1"/>
  <c r="N160" i="12"/>
  <c r="N176" i="9"/>
  <c r="M173" i="12"/>
  <c r="M188" i="9" s="1"/>
  <c r="I192" i="12"/>
  <c r="I207" i="9" s="1"/>
  <c r="L207" i="9"/>
  <c r="P194" i="12"/>
  <c r="P209" i="9" s="1"/>
  <c r="O202" i="12"/>
  <c r="O217" i="9" s="1"/>
  <c r="O218" i="9"/>
  <c r="P210" i="12"/>
  <c r="P225" i="9" s="1"/>
  <c r="M214" i="12"/>
  <c r="M229" i="9" s="1"/>
  <c r="I226" i="12"/>
  <c r="I241" i="9" s="1"/>
  <c r="J232" i="12"/>
  <c r="J247" i="9" s="1"/>
  <c r="H247" i="12"/>
  <c r="H262" i="9" s="1"/>
  <c r="O262" i="9"/>
  <c r="O249" i="12"/>
  <c r="O264" i="9" s="1"/>
  <c r="O265" i="9"/>
  <c r="G253" i="12"/>
  <c r="G268" i="9" s="1"/>
  <c r="J268" i="9"/>
  <c r="J266" i="12"/>
  <c r="M271" i="12"/>
  <c r="M286" i="9" s="1"/>
  <c r="M287" i="9"/>
  <c r="K275" i="12"/>
  <c r="K290" i="9" s="1"/>
  <c r="N285" i="12"/>
  <c r="H288" i="12"/>
  <c r="H303" i="9" s="1"/>
  <c r="K303" i="9"/>
  <c r="P300" i="12"/>
  <c r="P333" i="9" s="1"/>
  <c r="P334" i="9"/>
  <c r="E313" i="12"/>
  <c r="G348" i="9"/>
  <c r="G327" i="12"/>
  <c r="G360" i="9" s="1"/>
  <c r="J360" i="9"/>
  <c r="P336" i="12"/>
  <c r="P375" i="9" s="1"/>
  <c r="H370" i="12"/>
  <c r="I372" i="12"/>
  <c r="I411" i="9" s="1"/>
  <c r="D373" i="12"/>
  <c r="G414" i="9"/>
  <c r="I388" i="12"/>
  <c r="I427" i="9" s="1"/>
  <c r="H394" i="12"/>
  <c r="H433" i="9" s="1"/>
  <c r="N398" i="12"/>
  <c r="P403" i="12"/>
  <c r="I403" i="12" s="1"/>
  <c r="I442" i="9" s="1"/>
  <c r="M406" i="12"/>
  <c r="M445" i="9" s="1"/>
  <c r="J416" i="12"/>
  <c r="J456" i="9"/>
  <c r="Q427" i="12"/>
  <c r="Q466" i="9" s="1"/>
  <c r="Q467" i="9"/>
  <c r="Q433" i="12"/>
  <c r="Q472" i="9" s="1"/>
  <c r="Q473" i="9"/>
  <c r="Q437" i="12"/>
  <c r="Q476" i="9" s="1"/>
  <c r="J448" i="12"/>
  <c r="J487" i="9" s="1"/>
  <c r="J486" i="9"/>
  <c r="M449" i="12"/>
  <c r="M488" i="9" s="1"/>
  <c r="Q487" i="12"/>
  <c r="Q537" i="9" s="1"/>
  <c r="Q538" i="9"/>
  <c r="D486" i="12"/>
  <c r="D542" i="9"/>
  <c r="N503" i="12"/>
  <c r="N554" i="9"/>
  <c r="P514" i="12"/>
  <c r="P575" i="9"/>
  <c r="G526" i="12"/>
  <c r="J586" i="9"/>
  <c r="N539" i="12"/>
  <c r="N599" i="9" s="1"/>
  <c r="N600" i="9"/>
  <c r="N543" i="12"/>
  <c r="N603" i="9" s="1"/>
  <c r="N602" i="9"/>
  <c r="I544" i="12"/>
  <c r="I604" i="9" s="1"/>
  <c r="L604" i="9"/>
  <c r="N551" i="12"/>
  <c r="N611" i="9" s="1"/>
  <c r="N610" i="9"/>
  <c r="N552" i="12"/>
  <c r="N612" i="9" s="1"/>
  <c r="K556" i="12"/>
  <c r="K620" i="9" s="1"/>
  <c r="K621" i="9"/>
  <c r="L562" i="12"/>
  <c r="G567" i="12"/>
  <c r="G631" i="9" s="1"/>
  <c r="J631" i="9"/>
  <c r="G59" i="12"/>
  <c r="J59" i="9"/>
  <c r="G230" i="12"/>
  <c r="G245" i="9" s="1"/>
  <c r="J245" i="9"/>
  <c r="I26" i="12"/>
  <c r="I26" i="9" s="1"/>
  <c r="L26" i="9"/>
  <c r="O67" i="12"/>
  <c r="O67" i="9" s="1"/>
  <c r="O68" i="9"/>
  <c r="N262" i="12"/>
  <c r="N277" i="9" s="1"/>
  <c r="N278" i="9"/>
  <c r="E278" i="12"/>
  <c r="E299" i="9"/>
  <c r="M289" i="12"/>
  <c r="M304" i="9" s="1"/>
  <c r="M305" i="9"/>
  <c r="M308" i="12"/>
  <c r="M341" i="9" s="1"/>
  <c r="M342" i="9"/>
  <c r="Q345" i="12"/>
  <c r="Q384" i="9" s="1"/>
  <c r="Q385" i="9"/>
  <c r="N401" i="12"/>
  <c r="N440" i="9" s="1"/>
  <c r="N441" i="9"/>
  <c r="L427" i="12"/>
  <c r="L467" i="9"/>
  <c r="E439" i="12"/>
  <c r="E478" i="9" s="1"/>
  <c r="E482" i="9"/>
  <c r="P502" i="12"/>
  <c r="P552" i="9" s="1"/>
  <c r="P553" i="9"/>
  <c r="Q559" i="12"/>
  <c r="Q623" i="9" s="1"/>
  <c r="Q624" i="9"/>
  <c r="J321" i="12"/>
  <c r="J354" i="9" s="1"/>
  <c r="I472" i="12"/>
  <c r="I522" i="9" s="1"/>
  <c r="L522" i="9"/>
  <c r="P11" i="12"/>
  <c r="P11" i="9" s="1"/>
  <c r="P13" i="9"/>
  <c r="I20" i="12"/>
  <c r="I20" i="9" s="1"/>
  <c r="H30" i="12"/>
  <c r="H30" i="9" s="1"/>
  <c r="N35" i="12"/>
  <c r="P41" i="12"/>
  <c r="P41" i="9" s="1"/>
  <c r="P42" i="9"/>
  <c r="J49" i="12"/>
  <c r="J49" i="9" s="1"/>
  <c r="J61" i="12"/>
  <c r="G65" i="12"/>
  <c r="G65" i="9" s="1"/>
  <c r="J65" i="9"/>
  <c r="I69" i="12"/>
  <c r="I69" i="9" s="1"/>
  <c r="L69" i="9"/>
  <c r="I72" i="12"/>
  <c r="I72" i="9" s="1"/>
  <c r="N75" i="12"/>
  <c r="N76" i="9"/>
  <c r="J81" i="12"/>
  <c r="K81" i="9"/>
  <c r="J20" i="12"/>
  <c r="J20" i="9" s="1"/>
  <c r="J24" i="12"/>
  <c r="K24" i="9"/>
  <c r="I30" i="12"/>
  <c r="I30" i="9" s="1"/>
  <c r="O34" i="12"/>
  <c r="O34" i="9" s="1"/>
  <c r="O35" i="9"/>
  <c r="N44" i="12"/>
  <c r="N44" i="9" s="1"/>
  <c r="N45" i="9"/>
  <c r="H65" i="12"/>
  <c r="H65" i="9" s="1"/>
  <c r="N65" i="9"/>
  <c r="J72" i="12"/>
  <c r="K72" i="9"/>
  <c r="O79" i="12"/>
  <c r="I102" i="12"/>
  <c r="I114" i="9" s="1"/>
  <c r="L114" i="9"/>
  <c r="M116" i="12"/>
  <c r="M131" i="9" s="1"/>
  <c r="M132" i="9"/>
  <c r="Q124" i="12"/>
  <c r="Q139" i="9" s="1"/>
  <c r="M138" i="12"/>
  <c r="M153" i="9" s="1"/>
  <c r="M154" i="9"/>
  <c r="J142" i="12"/>
  <c r="Q144" i="12"/>
  <c r="Q159" i="9" s="1"/>
  <c r="Q160" i="9"/>
  <c r="P147" i="12"/>
  <c r="P162" i="9" s="1"/>
  <c r="I157" i="12"/>
  <c r="I172" i="9" s="1"/>
  <c r="E162" i="12"/>
  <c r="E177" i="9" s="1"/>
  <c r="J165" i="12"/>
  <c r="J180" i="9" s="1"/>
  <c r="J177" i="12"/>
  <c r="J183" i="12"/>
  <c r="J198" i="9" s="1"/>
  <c r="Q194" i="12"/>
  <c r="Q209" i="9" s="1"/>
  <c r="N198" i="12"/>
  <c r="N215" i="9"/>
  <c r="P202" i="12"/>
  <c r="P217" i="9" s="1"/>
  <c r="P218" i="9"/>
  <c r="O214" i="12"/>
  <c r="O229" i="9" s="1"/>
  <c r="J217" i="12"/>
  <c r="J226" i="12"/>
  <c r="J241" i="9" s="1"/>
  <c r="M244" i="12"/>
  <c r="M260" i="9"/>
  <c r="P246" i="12"/>
  <c r="P262" i="9"/>
  <c r="G256" i="12"/>
  <c r="G271" i="9" s="1"/>
  <c r="N271" i="9"/>
  <c r="H259" i="12"/>
  <c r="H274" i="9" s="1"/>
  <c r="K265" i="12"/>
  <c r="K281" i="9"/>
  <c r="L268" i="12"/>
  <c r="I275" i="12"/>
  <c r="I290" i="9" s="1"/>
  <c r="L290" i="9"/>
  <c r="I279" i="12"/>
  <c r="I294" i="9" s="1"/>
  <c r="L294" i="9"/>
  <c r="O284" i="12"/>
  <c r="O299" i="9" s="1"/>
  <c r="O300" i="9"/>
  <c r="G291" i="12"/>
  <c r="G306" i="9" s="1"/>
  <c r="J306" i="9"/>
  <c r="Q300" i="12"/>
  <c r="Q333" i="9" s="1"/>
  <c r="Q334" i="9"/>
  <c r="M304" i="12"/>
  <c r="M337" i="9" s="1"/>
  <c r="Q312" i="12"/>
  <c r="Q345" i="9" s="1"/>
  <c r="O316" i="12"/>
  <c r="O349" i="9" s="1"/>
  <c r="O354" i="9"/>
  <c r="N324" i="12"/>
  <c r="Q336" i="12"/>
  <c r="Q375" i="9" s="1"/>
  <c r="Q339" i="12"/>
  <c r="Q378" i="9" s="1"/>
  <c r="Q379" i="9"/>
  <c r="O345" i="12"/>
  <c r="O384" i="9" s="1"/>
  <c r="J348" i="12"/>
  <c r="K387" i="9"/>
  <c r="E351" i="12"/>
  <c r="E390" i="9" s="1"/>
  <c r="E391" i="9"/>
  <c r="M355" i="12"/>
  <c r="M394" i="9" s="1"/>
  <c r="M395" i="9"/>
  <c r="N360" i="12"/>
  <c r="N399" i="9" s="1"/>
  <c r="N401" i="9"/>
  <c r="D364" i="12"/>
  <c r="G404" i="9"/>
  <c r="I382" i="12"/>
  <c r="I421" i="9" s="1"/>
  <c r="I420" i="9"/>
  <c r="I394" i="12"/>
  <c r="I433" i="9" s="1"/>
  <c r="O397" i="12"/>
  <c r="O436" i="9" s="1"/>
  <c r="O437" i="9"/>
  <c r="P406" i="12"/>
  <c r="J415" i="12"/>
  <c r="N432" i="12"/>
  <c r="N471" i="9" s="1"/>
  <c r="I438" i="12"/>
  <c r="I477" i="9" s="1"/>
  <c r="H440" i="12"/>
  <c r="H479" i="9" s="1"/>
  <c r="P439" i="12"/>
  <c r="P478" i="9" s="1"/>
  <c r="P482" i="9"/>
  <c r="N448" i="12"/>
  <c r="N487" i="9" s="1"/>
  <c r="N486" i="9"/>
  <c r="O449" i="12"/>
  <c r="O488" i="9" s="1"/>
  <c r="I452" i="12"/>
  <c r="I491" i="9" s="1"/>
  <c r="I490" i="9"/>
  <c r="O461" i="12"/>
  <c r="O511" i="9" s="1"/>
  <c r="G464" i="12"/>
  <c r="G514" i="9" s="1"/>
  <c r="J514" i="9"/>
  <c r="G473" i="12"/>
  <c r="G523" i="9" s="1"/>
  <c r="L476" i="12"/>
  <c r="L526" i="9" s="1"/>
  <c r="I482" i="12"/>
  <c r="I532" i="9" s="1"/>
  <c r="L532" i="9"/>
  <c r="G489" i="12"/>
  <c r="G539" i="9" s="1"/>
  <c r="J495" i="12"/>
  <c r="J493" i="12" s="1"/>
  <c r="K545" i="9"/>
  <c r="O497" i="12"/>
  <c r="O547" i="9" s="1"/>
  <c r="O548" i="9"/>
  <c r="I508" i="12"/>
  <c r="I558" i="9" s="1"/>
  <c r="L558" i="9"/>
  <c r="Q515" i="12"/>
  <c r="Q575" i="9" s="1"/>
  <c r="G520" i="12"/>
  <c r="E520" i="12"/>
  <c r="G582" i="9"/>
  <c r="G524" i="12"/>
  <c r="J584" i="9"/>
  <c r="Q532" i="12"/>
  <c r="H541" i="12"/>
  <c r="H601" i="9" s="1"/>
  <c r="Q545" i="12"/>
  <c r="Q606" i="9"/>
  <c r="H560" i="12"/>
  <c r="H624" i="9" s="1"/>
  <c r="P562" i="12"/>
  <c r="P626" i="9" s="1"/>
  <c r="G564" i="12"/>
  <c r="G628" i="9" s="1"/>
  <c r="N628" i="9"/>
  <c r="L6" i="9"/>
  <c r="P6" i="9"/>
  <c r="I10" i="12"/>
  <c r="I10" i="9" s="1"/>
  <c r="H10" i="12"/>
  <c r="N67" i="12"/>
  <c r="H356" i="12"/>
  <c r="H395" i="9" s="1"/>
  <c r="K355" i="12"/>
  <c r="K351" i="12" s="1"/>
  <c r="G465" i="12"/>
  <c r="J462" i="12"/>
  <c r="J512" i="9" s="1"/>
  <c r="K502" i="12"/>
  <c r="H503" i="12"/>
  <c r="H553" i="9" s="1"/>
  <c r="G49" i="12"/>
  <c r="G49" i="9" s="1"/>
  <c r="L50" i="12"/>
  <c r="L50" i="9" s="1"/>
  <c r="I61" i="12"/>
  <c r="I61" i="9" s="1"/>
  <c r="L60" i="12"/>
  <c r="M67" i="12"/>
  <c r="H85" i="12"/>
  <c r="H85" i="9" s="1"/>
  <c r="K84" i="12"/>
  <c r="K84" i="9" s="1"/>
  <c r="G125" i="12"/>
  <c r="G140" i="9" s="1"/>
  <c r="H154" i="12"/>
  <c r="H169" i="9" s="1"/>
  <c r="K153" i="12"/>
  <c r="J156" i="12"/>
  <c r="G157" i="12"/>
  <c r="G172" i="9" s="1"/>
  <c r="L194" i="12"/>
  <c r="I195" i="12"/>
  <c r="I210" i="9" s="1"/>
  <c r="G367" i="12"/>
  <c r="G406" i="9" s="1"/>
  <c r="J366" i="12"/>
  <c r="H480" i="12"/>
  <c r="H530" i="9" s="1"/>
  <c r="K477" i="12"/>
  <c r="K527" i="9" s="1"/>
  <c r="G31" i="12"/>
  <c r="G31" i="9" s="1"/>
  <c r="J33" i="12"/>
  <c r="J33" i="9" s="1"/>
  <c r="K41" i="12"/>
  <c r="P94" i="12"/>
  <c r="K12" i="12"/>
  <c r="K12" i="9" s="1"/>
  <c r="G118" i="12"/>
  <c r="G133" i="9" s="1"/>
  <c r="H142" i="12"/>
  <c r="H157" i="9" s="1"/>
  <c r="K141" i="12"/>
  <c r="M246" i="12"/>
  <c r="G247" i="12"/>
  <c r="G262" i="9" s="1"/>
  <c r="J326" i="12"/>
  <c r="J359" i="9" s="1"/>
  <c r="I142" i="12"/>
  <c r="I157" i="9" s="1"/>
  <c r="L141" i="12"/>
  <c r="L132" i="12" s="1"/>
  <c r="L147" i="9" s="1"/>
  <c r="H120" i="12"/>
  <c r="H135" i="9" s="1"/>
  <c r="K117" i="12"/>
  <c r="K132" i="9" s="1"/>
  <c r="I128" i="12"/>
  <c r="I143" i="9" s="1"/>
  <c r="L127" i="12"/>
  <c r="M236" i="12"/>
  <c r="G237" i="12"/>
  <c r="G252" i="9" s="1"/>
  <c r="I120" i="12"/>
  <c r="I135" i="9" s="1"/>
  <c r="L12" i="12"/>
  <c r="L12" i="9" s="1"/>
  <c r="L202" i="12"/>
  <c r="I203" i="12"/>
  <c r="I218" i="9" s="1"/>
  <c r="G480" i="12"/>
  <c r="G530" i="9" s="1"/>
  <c r="J477" i="12"/>
  <c r="J527" i="9" s="1"/>
  <c r="N50" i="12"/>
  <c r="J200" i="12"/>
  <c r="H200" i="12"/>
  <c r="H215" i="9" s="1"/>
  <c r="J22" i="12"/>
  <c r="G23" i="12"/>
  <c r="G23" i="9" s="1"/>
  <c r="K60" i="12"/>
  <c r="H145" i="12"/>
  <c r="H160" i="9" s="1"/>
  <c r="O144" i="12"/>
  <c r="J362" i="12"/>
  <c r="J360" i="12" s="1"/>
  <c r="J399" i="9" s="1"/>
  <c r="L360" i="12"/>
  <c r="L399" i="9" s="1"/>
  <c r="G20" i="12"/>
  <c r="G20" i="9" s="1"/>
  <c r="G110" i="12"/>
  <c r="G122" i="9" s="1"/>
  <c r="N109" i="12"/>
  <c r="N117" i="12"/>
  <c r="G293" i="12"/>
  <c r="G308" i="9" s="1"/>
  <c r="J290" i="12"/>
  <c r="J305" i="9" s="1"/>
  <c r="H460" i="12"/>
  <c r="H510" i="9" s="1"/>
  <c r="K457" i="12"/>
  <c r="K507" i="9" s="1"/>
  <c r="J460" i="12"/>
  <c r="J510" i="9" s="1"/>
  <c r="O128" i="12"/>
  <c r="H129" i="12"/>
  <c r="H144" i="9" s="1"/>
  <c r="I19" i="12"/>
  <c r="I19" i="9" s="1"/>
  <c r="D132" i="12"/>
  <c r="D147" i="9" s="1"/>
  <c r="J134" i="12"/>
  <c r="J149" i="9" s="1"/>
  <c r="I285" i="12"/>
  <c r="I300" i="9" s="1"/>
  <c r="L284" i="12"/>
  <c r="L299" i="9" s="1"/>
  <c r="L304" i="12"/>
  <c r="I305" i="12"/>
  <c r="I338" i="9" s="1"/>
  <c r="J313" i="12"/>
  <c r="J346" i="9" s="1"/>
  <c r="H432" i="12"/>
  <c r="H471" i="9" s="1"/>
  <c r="K433" i="12"/>
  <c r="K434" i="12"/>
  <c r="K473" i="9" s="1"/>
  <c r="K431" i="12"/>
  <c r="K470" i="9" s="1"/>
  <c r="H59" i="12"/>
  <c r="K14" i="12"/>
  <c r="K14" i="9" s="1"/>
  <c r="J91" i="12"/>
  <c r="J91" i="9" s="1"/>
  <c r="K90" i="12"/>
  <c r="H144" i="12"/>
  <c r="H159" i="9" s="1"/>
  <c r="N19" i="12"/>
  <c r="N19" i="9" s="1"/>
  <c r="I57" i="12"/>
  <c r="I57" i="9" s="1"/>
  <c r="L56" i="12"/>
  <c r="L56" i="9" s="1"/>
  <c r="L63" i="12"/>
  <c r="I64" i="12"/>
  <c r="I64" i="9" s="1"/>
  <c r="M94" i="12"/>
  <c r="G209" i="12"/>
  <c r="G224" i="9" s="1"/>
  <c r="J208" i="12"/>
  <c r="J223" i="9" s="1"/>
  <c r="K215" i="12"/>
  <c r="K230" i="9" s="1"/>
  <c r="H218" i="12"/>
  <c r="H233" i="9" s="1"/>
  <c r="J218" i="12"/>
  <c r="J233" i="9" s="1"/>
  <c r="K29" i="12"/>
  <c r="J37" i="12"/>
  <c r="J43" i="12"/>
  <c r="J43" i="9" s="1"/>
  <c r="K44" i="12"/>
  <c r="H45" i="12"/>
  <c r="H45" i="9" s="1"/>
  <c r="P46" i="12"/>
  <c r="G52" i="12"/>
  <c r="G52" i="9" s="1"/>
  <c r="M55" i="12"/>
  <c r="M55" i="9" s="1"/>
  <c r="K78" i="12"/>
  <c r="K78" i="9" s="1"/>
  <c r="H177" i="12"/>
  <c r="H192" i="9" s="1"/>
  <c r="K174" i="12"/>
  <c r="K189" i="9" s="1"/>
  <c r="G196" i="12"/>
  <c r="G211" i="9" s="1"/>
  <c r="M195" i="12"/>
  <c r="L215" i="12"/>
  <c r="L230" i="9" s="1"/>
  <c r="I218" i="12"/>
  <c r="J301" i="12"/>
  <c r="J334" i="9" s="1"/>
  <c r="J319" i="12"/>
  <c r="J352" i="9" s="1"/>
  <c r="H319" i="12"/>
  <c r="H352" i="9" s="1"/>
  <c r="J30" i="12"/>
  <c r="J30" i="9" s="1"/>
  <c r="J185" i="12"/>
  <c r="G186" i="12"/>
  <c r="J15" i="12"/>
  <c r="J15" i="9" s="1"/>
  <c r="H237" i="12"/>
  <c r="H252" i="9" s="1"/>
  <c r="K236" i="12"/>
  <c r="J257" i="12"/>
  <c r="J272" i="9" s="1"/>
  <c r="K317" i="12"/>
  <c r="K350" i="9" s="1"/>
  <c r="I68" i="12"/>
  <c r="I68" i="9" s="1"/>
  <c r="L67" i="12"/>
  <c r="L67" i="9" s="1"/>
  <c r="G85" i="12"/>
  <c r="G85" i="9" s="1"/>
  <c r="J84" i="12"/>
  <c r="J84" i="9" s="1"/>
  <c r="I112" i="12"/>
  <c r="I127" i="9" s="1"/>
  <c r="H137" i="12"/>
  <c r="H152" i="9" s="1"/>
  <c r="K134" i="12"/>
  <c r="K149" i="9" s="1"/>
  <c r="G154" i="12"/>
  <c r="G169" i="9" s="1"/>
  <c r="L255" i="12"/>
  <c r="L270" i="9" s="1"/>
  <c r="H20" i="12"/>
  <c r="H20" i="9" s="1"/>
  <c r="J35" i="12"/>
  <c r="J35" i="9" s="1"/>
  <c r="G36" i="12"/>
  <c r="G36" i="9" s="1"/>
  <c r="Q83" i="12"/>
  <c r="G193" i="12"/>
  <c r="J192" i="12"/>
  <c r="K324" i="12"/>
  <c r="K357" i="9" s="1"/>
  <c r="N438" i="12"/>
  <c r="N435" i="12"/>
  <c r="N474" i="9" s="1"/>
  <c r="G436" i="12"/>
  <c r="G475" i="9" s="1"/>
  <c r="L13" i="12"/>
  <c r="L13" i="9" s="1"/>
  <c r="L35" i="12"/>
  <c r="L35" i="9" s="1"/>
  <c r="I36" i="12"/>
  <c r="I36" i="9" s="1"/>
  <c r="G145" i="12"/>
  <c r="G160" i="9" s="1"/>
  <c r="G152" i="12"/>
  <c r="G167" i="9" s="1"/>
  <c r="M151" i="12"/>
  <c r="G151" i="12" s="1"/>
  <c r="G166" i="9" s="1"/>
  <c r="I263" i="12"/>
  <c r="I278" i="9" s="1"/>
  <c r="L262" i="12"/>
  <c r="J268" i="12"/>
  <c r="J283" i="9" s="1"/>
  <c r="K159" i="12"/>
  <c r="O19" i="12"/>
  <c r="J74" i="12"/>
  <c r="I80" i="12"/>
  <c r="I80" i="9" s="1"/>
  <c r="L79" i="12"/>
  <c r="L79" i="9" s="1"/>
  <c r="I87" i="12"/>
  <c r="I87" i="9" s="1"/>
  <c r="L99" i="12"/>
  <c r="I109" i="12"/>
  <c r="I121" i="9" s="1"/>
  <c r="L108" i="12"/>
  <c r="H122" i="12"/>
  <c r="H137" i="9" s="1"/>
  <c r="I133" i="12"/>
  <c r="I148" i="9" s="1"/>
  <c r="G160" i="12"/>
  <c r="G175" i="9" s="1"/>
  <c r="H166" i="12"/>
  <c r="H181" i="9" s="1"/>
  <c r="O163" i="12"/>
  <c r="O178" i="9" s="1"/>
  <c r="G282" i="12"/>
  <c r="G297" i="9" s="1"/>
  <c r="K423" i="12"/>
  <c r="H425" i="12"/>
  <c r="H464" i="9" s="1"/>
  <c r="J425" i="12"/>
  <c r="J464" i="9" s="1"/>
  <c r="Q19" i="12"/>
  <c r="J14" i="12"/>
  <c r="J14" i="9" s="1"/>
  <c r="G28" i="12"/>
  <c r="G28" i="9" s="1"/>
  <c r="H35" i="12"/>
  <c r="H35" i="9" s="1"/>
  <c r="N41" i="12"/>
  <c r="N41" i="9" s="1"/>
  <c r="K74" i="12"/>
  <c r="H75" i="12"/>
  <c r="H75" i="9" s="1"/>
  <c r="J87" i="12"/>
  <c r="J87" i="9" s="1"/>
  <c r="G97" i="12"/>
  <c r="G109" i="9" s="1"/>
  <c r="G114" i="12"/>
  <c r="G129" i="9" s="1"/>
  <c r="J113" i="12"/>
  <c r="J128" i="9" s="1"/>
  <c r="G129" i="12"/>
  <c r="G144" i="9" s="1"/>
  <c r="G139" i="12"/>
  <c r="G154" i="9" s="1"/>
  <c r="N12" i="12"/>
  <c r="J51" i="12"/>
  <c r="J51" i="9" s="1"/>
  <c r="I75" i="12"/>
  <c r="I75" i="9" s="1"/>
  <c r="P83" i="12"/>
  <c r="I84" i="12"/>
  <c r="I84" i="9" s="1"/>
  <c r="J105" i="12"/>
  <c r="J117" i="9" s="1"/>
  <c r="J120" i="12"/>
  <c r="J122" i="12"/>
  <c r="J137" i="9" s="1"/>
  <c r="K127" i="12"/>
  <c r="K142" i="9" s="1"/>
  <c r="I139" i="12"/>
  <c r="I154" i="9" s="1"/>
  <c r="E132" i="12"/>
  <c r="J150" i="12"/>
  <c r="I181" i="12"/>
  <c r="I196" i="9" s="1"/>
  <c r="L180" i="12"/>
  <c r="L236" i="12"/>
  <c r="I237" i="12"/>
  <c r="I252" i="9" s="1"/>
  <c r="H255" i="12"/>
  <c r="H270" i="9" s="1"/>
  <c r="G261" i="12"/>
  <c r="G276" i="9" s="1"/>
  <c r="J260" i="12"/>
  <c r="J275" i="9" s="1"/>
  <c r="G205" i="12"/>
  <c r="O373" i="12"/>
  <c r="O412" i="9" s="1"/>
  <c r="N374" i="12"/>
  <c r="N413" i="9" s="1"/>
  <c r="I450" i="12"/>
  <c r="I489" i="9" s="1"/>
  <c r="P449" i="12"/>
  <c r="H566" i="12"/>
  <c r="H630" i="9" s="1"/>
  <c r="K565" i="12"/>
  <c r="K629" i="9" s="1"/>
  <c r="J566" i="12"/>
  <c r="G240" i="12"/>
  <c r="G255" i="9" s="1"/>
  <c r="J239" i="12"/>
  <c r="O278" i="12"/>
  <c r="J401" i="12"/>
  <c r="J440" i="9" s="1"/>
  <c r="G402" i="12"/>
  <c r="G441" i="9" s="1"/>
  <c r="O66" i="12"/>
  <c r="O66" i="9" s="1"/>
  <c r="I15" i="12"/>
  <c r="I15" i="9" s="1"/>
  <c r="J171" i="12"/>
  <c r="J186" i="9" s="1"/>
  <c r="K169" i="12"/>
  <c r="K184" i="9" s="1"/>
  <c r="H182" i="12"/>
  <c r="H197" i="9" s="1"/>
  <c r="K181" i="12"/>
  <c r="K196" i="9" s="1"/>
  <c r="J182" i="12"/>
  <c r="J197" i="9" s="1"/>
  <c r="J199" i="12"/>
  <c r="J214" i="9" s="1"/>
  <c r="H199" i="12"/>
  <c r="H214" i="9" s="1"/>
  <c r="O213" i="12"/>
  <c r="O228" i="9" s="1"/>
  <c r="H240" i="12"/>
  <c r="H255" i="9" s="1"/>
  <c r="K239" i="12"/>
  <c r="D278" i="12"/>
  <c r="L352" i="12"/>
  <c r="L391" i="9" s="1"/>
  <c r="I353" i="12"/>
  <c r="I392" i="9" s="1"/>
  <c r="N390" i="12"/>
  <c r="N429" i="9" s="1"/>
  <c r="G389" i="12"/>
  <c r="J397" i="12"/>
  <c r="N411" i="12"/>
  <c r="G413" i="12"/>
  <c r="H475" i="12"/>
  <c r="H525" i="9" s="1"/>
  <c r="K472" i="12"/>
  <c r="K522" i="9" s="1"/>
  <c r="J475" i="12"/>
  <c r="J525" i="9" s="1"/>
  <c r="H27" i="12"/>
  <c r="H27" i="9" s="1"/>
  <c r="H53" i="12"/>
  <c r="H53" i="9" s="1"/>
  <c r="P67" i="12"/>
  <c r="H124" i="12"/>
  <c r="H139" i="9" s="1"/>
  <c r="I185" i="12"/>
  <c r="I200" i="9" s="1"/>
  <c r="J211" i="12"/>
  <c r="J226" i="9" s="1"/>
  <c r="G212" i="12"/>
  <c r="G227" i="9" s="1"/>
  <c r="P213" i="12"/>
  <c r="P228" i="9" s="1"/>
  <c r="K229" i="12"/>
  <c r="K244" i="9" s="1"/>
  <c r="H231" i="12"/>
  <c r="H246" i="9" s="1"/>
  <c r="L243" i="12"/>
  <c r="L258" i="9" s="1"/>
  <c r="I244" i="12"/>
  <c r="I259" i="9" s="1"/>
  <c r="J263" i="12"/>
  <c r="J278" i="9" s="1"/>
  <c r="G264" i="12"/>
  <c r="G279" i="9" s="1"/>
  <c r="I274" i="12"/>
  <c r="I289" i="9" s="1"/>
  <c r="J275" i="12"/>
  <c r="J290" i="9" s="1"/>
  <c r="G276" i="12"/>
  <c r="G291" i="9" s="1"/>
  <c r="Q296" i="12"/>
  <c r="Q329" i="9" s="1"/>
  <c r="I340" i="12"/>
  <c r="I379" i="9" s="1"/>
  <c r="P339" i="12"/>
  <c r="H343" i="12"/>
  <c r="H382" i="9" s="1"/>
  <c r="K342" i="12"/>
  <c r="K51" i="12"/>
  <c r="K51" i="9" s="1"/>
  <c r="J102" i="12"/>
  <c r="G414" i="12"/>
  <c r="J430" i="12"/>
  <c r="J469" i="9" s="1"/>
  <c r="J27" i="12"/>
  <c r="J27" i="9" s="1"/>
  <c r="H36" i="12"/>
  <c r="H36" i="9" s="1"/>
  <c r="H43" i="12"/>
  <c r="H43" i="9" s="1"/>
  <c r="G69" i="12"/>
  <c r="G69" i="9" s="1"/>
  <c r="H81" i="12"/>
  <c r="H81" i="9" s="1"/>
  <c r="L83" i="12"/>
  <c r="L83" i="9" s="1"/>
  <c r="H96" i="12"/>
  <c r="H108" i="9" s="1"/>
  <c r="G98" i="12"/>
  <c r="K100" i="12"/>
  <c r="K112" i="9" s="1"/>
  <c r="H102" i="12"/>
  <c r="H114" i="9" s="1"/>
  <c r="D111" i="12"/>
  <c r="G140" i="12"/>
  <c r="G155" i="9" s="1"/>
  <c r="G155" i="12"/>
  <c r="G170" i="9" s="1"/>
  <c r="I164" i="12"/>
  <c r="I179" i="9" s="1"/>
  <c r="H176" i="12"/>
  <c r="H191" i="9" s="1"/>
  <c r="J176" i="12"/>
  <c r="N178" i="12"/>
  <c r="N188" i="12"/>
  <c r="I198" i="12"/>
  <c r="I213" i="9" s="1"/>
  <c r="J229" i="12"/>
  <c r="J244" i="9" s="1"/>
  <c r="L271" i="12"/>
  <c r="I272" i="12"/>
  <c r="I287" i="9" s="1"/>
  <c r="I316" i="12"/>
  <c r="I349" i="9" s="1"/>
  <c r="I328" i="12"/>
  <c r="I361" i="9" s="1"/>
  <c r="H337" i="12"/>
  <c r="H376" i="9" s="1"/>
  <c r="K336" i="12"/>
  <c r="O376" i="12"/>
  <c r="N377" i="12"/>
  <c r="N416" i="9" s="1"/>
  <c r="I90" i="12"/>
  <c r="I90" i="9" s="1"/>
  <c r="I96" i="12"/>
  <c r="I108" i="9" s="1"/>
  <c r="L117" i="12"/>
  <c r="L132" i="9" s="1"/>
  <c r="I129" i="12"/>
  <c r="I144" i="9" s="1"/>
  <c r="C134" i="12"/>
  <c r="I145" i="12"/>
  <c r="I160" i="9" s="1"/>
  <c r="G333" i="12"/>
  <c r="G372" i="9" s="1"/>
  <c r="J332" i="12"/>
  <c r="J371" i="9" s="1"/>
  <c r="H69" i="12"/>
  <c r="H69" i="9" s="1"/>
  <c r="N105" i="12"/>
  <c r="L173" i="12"/>
  <c r="I174" i="12"/>
  <c r="I189" i="9" s="1"/>
  <c r="K198" i="12"/>
  <c r="K213" i="9" s="1"/>
  <c r="J219" i="12"/>
  <c r="G220" i="12"/>
  <c r="G232" i="12"/>
  <c r="G247" i="9" s="1"/>
  <c r="D242" i="12"/>
  <c r="D257" i="9" s="1"/>
  <c r="J287" i="12"/>
  <c r="K285" i="12"/>
  <c r="K300" i="9" s="1"/>
  <c r="H290" i="12"/>
  <c r="H305" i="9" s="1"/>
  <c r="K289" i="12"/>
  <c r="K332" i="12"/>
  <c r="K371" i="9" s="1"/>
  <c r="H333" i="12"/>
  <c r="H372" i="9" s="1"/>
  <c r="P410" i="12"/>
  <c r="P449" i="9" s="1"/>
  <c r="M50" i="12"/>
  <c r="M50" i="9" s="1"/>
  <c r="M47" i="12"/>
  <c r="K13" i="12"/>
  <c r="K13" i="9" s="1"/>
  <c r="J57" i="12"/>
  <c r="J57" i="9" s="1"/>
  <c r="G64" i="12"/>
  <c r="G64" i="9" s="1"/>
  <c r="I134" i="12"/>
  <c r="I149" i="9" s="1"/>
  <c r="H245" i="12"/>
  <c r="H260" i="9" s="1"/>
  <c r="J245" i="12"/>
  <c r="J260" i="9" s="1"/>
  <c r="I249" i="12"/>
  <c r="I264" i="9" s="1"/>
  <c r="N269" i="12"/>
  <c r="G270" i="12"/>
  <c r="G285" i="9" s="1"/>
  <c r="H275" i="12"/>
  <c r="H290" i="9" s="1"/>
  <c r="K274" i="12"/>
  <c r="K359" i="12"/>
  <c r="G369" i="12"/>
  <c r="G408" i="9" s="1"/>
  <c r="P397" i="12"/>
  <c r="P436" i="9" s="1"/>
  <c r="I398" i="12"/>
  <c r="I437" i="9" s="1"/>
  <c r="G364" i="12"/>
  <c r="G403" i="9" s="1"/>
  <c r="N530" i="12"/>
  <c r="N590" i="9" s="1"/>
  <c r="N528" i="12"/>
  <c r="N588" i="9" s="1"/>
  <c r="N70" i="12"/>
  <c r="G109" i="12"/>
  <c r="G121" i="9" s="1"/>
  <c r="G148" i="12"/>
  <c r="G163" i="9" s="1"/>
  <c r="N163" i="12"/>
  <c r="N178" i="9" s="1"/>
  <c r="I178" i="12"/>
  <c r="I193" i="9" s="1"/>
  <c r="I224" i="12"/>
  <c r="L222" i="12"/>
  <c r="L237" i="9" s="1"/>
  <c r="J224" i="12"/>
  <c r="J239" i="9" s="1"/>
  <c r="N229" i="12"/>
  <c r="L259" i="12"/>
  <c r="I260" i="12"/>
  <c r="I275" i="9" s="1"/>
  <c r="J272" i="12"/>
  <c r="J287" i="9" s="1"/>
  <c r="G273" i="12"/>
  <c r="G288" i="9" s="1"/>
  <c r="G286" i="12"/>
  <c r="G301" i="9" s="1"/>
  <c r="G311" i="12"/>
  <c r="G344" i="9" s="1"/>
  <c r="H366" i="12"/>
  <c r="H405" i="9" s="1"/>
  <c r="K371" i="12"/>
  <c r="K410" i="9" s="1"/>
  <c r="K369" i="12"/>
  <c r="K408" i="9" s="1"/>
  <c r="H191" i="12"/>
  <c r="H206" i="9" s="1"/>
  <c r="J191" i="12"/>
  <c r="K188" i="12"/>
  <c r="K203" i="9" s="1"/>
  <c r="J194" i="12"/>
  <c r="L210" i="12"/>
  <c r="I211" i="12"/>
  <c r="I226" i="9" s="1"/>
  <c r="G235" i="12"/>
  <c r="N234" i="12"/>
  <c r="G361" i="12"/>
  <c r="G400" i="9" s="1"/>
  <c r="I366" i="12"/>
  <c r="I405" i="9" s="1"/>
  <c r="G386" i="12"/>
  <c r="G425" i="9" s="1"/>
  <c r="I515" i="12"/>
  <c r="I575" i="9" s="1"/>
  <c r="G227" i="12"/>
  <c r="G292" i="12"/>
  <c r="I321" i="12"/>
  <c r="I354" i="9" s="1"/>
  <c r="H328" i="12"/>
  <c r="H361" i="9" s="1"/>
  <c r="H352" i="12"/>
  <c r="H391" i="9" s="1"/>
  <c r="J379" i="12"/>
  <c r="J418" i="9" s="1"/>
  <c r="G384" i="12"/>
  <c r="G423" i="9" s="1"/>
  <c r="L492" i="12"/>
  <c r="I493" i="12"/>
  <c r="I543" i="9" s="1"/>
  <c r="G529" i="12"/>
  <c r="J530" i="12"/>
  <c r="J590" i="9" s="1"/>
  <c r="J528" i="12"/>
  <c r="J562" i="12"/>
  <c r="H544" i="12"/>
  <c r="H604" i="9" s="1"/>
  <c r="K514" i="12"/>
  <c r="K574" i="9" s="1"/>
  <c r="M228" i="12"/>
  <c r="L265" i="12"/>
  <c r="I266" i="12"/>
  <c r="I281" i="9" s="1"/>
  <c r="H304" i="12"/>
  <c r="H337" i="9" s="1"/>
  <c r="I310" i="12"/>
  <c r="I343" i="9" s="1"/>
  <c r="L309" i="12"/>
  <c r="L342" i="9" s="1"/>
  <c r="G353" i="12"/>
  <c r="G392" i="9" s="1"/>
  <c r="M352" i="12"/>
  <c r="H415" i="12"/>
  <c r="H454" i="9" s="1"/>
  <c r="K411" i="12"/>
  <c r="K450" i="9" s="1"/>
  <c r="G548" i="12"/>
  <c r="J549" i="12"/>
  <c r="J609" i="9" s="1"/>
  <c r="J547" i="12"/>
  <c r="H24" i="12"/>
  <c r="H24" i="9" s="1"/>
  <c r="H54" i="12"/>
  <c r="H54" i="9" s="1"/>
  <c r="G142" i="12"/>
  <c r="G157" i="9" s="1"/>
  <c r="G161" i="12"/>
  <c r="G176" i="9" s="1"/>
  <c r="N174" i="12"/>
  <c r="N189" i="9" s="1"/>
  <c r="L187" i="12"/>
  <c r="H194" i="12"/>
  <c r="H209" i="9" s="1"/>
  <c r="G204" i="12"/>
  <c r="G219" i="9" s="1"/>
  <c r="I208" i="12"/>
  <c r="I223" i="9" s="1"/>
  <c r="K222" i="12"/>
  <c r="K237" i="9" s="1"/>
  <c r="G241" i="12"/>
  <c r="G256" i="9" s="1"/>
  <c r="H246" i="12"/>
  <c r="H261" i="9" s="1"/>
  <c r="G248" i="12"/>
  <c r="G263" i="9" s="1"/>
  <c r="H263" i="12"/>
  <c r="H278" i="9" s="1"/>
  <c r="G340" i="12"/>
  <c r="G379" i="9" s="1"/>
  <c r="N382" i="12"/>
  <c r="N421" i="9" s="1"/>
  <c r="N380" i="12"/>
  <c r="N419" i="9" s="1"/>
  <c r="C467" i="12"/>
  <c r="J488" i="12"/>
  <c r="J538" i="9" s="1"/>
  <c r="G490" i="12"/>
  <c r="N549" i="12"/>
  <c r="N609" i="9" s="1"/>
  <c r="N547" i="12"/>
  <c r="N607" i="9" s="1"/>
  <c r="J283" i="12"/>
  <c r="K280" i="12"/>
  <c r="K295" i="9" s="1"/>
  <c r="N301" i="12"/>
  <c r="O323" i="12"/>
  <c r="G329" i="12"/>
  <c r="J328" i="12"/>
  <c r="I339" i="12"/>
  <c r="I378" i="9" s="1"/>
  <c r="G378" i="12"/>
  <c r="G417" i="9" s="1"/>
  <c r="H384" i="12"/>
  <c r="H423" i="9" s="1"/>
  <c r="K379" i="12"/>
  <c r="G444" i="12"/>
  <c r="J445" i="12"/>
  <c r="J484" i="9" s="1"/>
  <c r="J443" i="12"/>
  <c r="J482" i="9" s="1"/>
  <c r="H260" i="12"/>
  <c r="H275" i="9" s="1"/>
  <c r="P308" i="12"/>
  <c r="P341" i="9" s="1"/>
  <c r="I384" i="12"/>
  <c r="I423" i="9" s="1"/>
  <c r="L379" i="12"/>
  <c r="J421" i="12"/>
  <c r="J460" i="9" s="1"/>
  <c r="K419" i="12"/>
  <c r="K458" i="9" s="1"/>
  <c r="H421" i="12"/>
  <c r="H460" i="9" s="1"/>
  <c r="N445" i="12"/>
  <c r="N484" i="9" s="1"/>
  <c r="N443" i="12"/>
  <c r="N482" i="9" s="1"/>
  <c r="G470" i="12"/>
  <c r="G520" i="9" s="1"/>
  <c r="J467" i="12"/>
  <c r="J517" i="9" s="1"/>
  <c r="G523" i="12"/>
  <c r="G583" i="9" s="1"/>
  <c r="K250" i="12"/>
  <c r="K265" i="9" s="1"/>
  <c r="J252" i="12"/>
  <c r="J267" i="9" s="1"/>
  <c r="G298" i="12"/>
  <c r="G331" i="9" s="1"/>
  <c r="L300" i="12"/>
  <c r="L333" i="9" s="1"/>
  <c r="I301" i="12"/>
  <c r="I334" i="9" s="1"/>
  <c r="H305" i="12"/>
  <c r="H338" i="9" s="1"/>
  <c r="Q331" i="12"/>
  <c r="Q370" i="9" s="1"/>
  <c r="G441" i="12"/>
  <c r="N442" i="12"/>
  <c r="N481" i="9" s="1"/>
  <c r="N440" i="12"/>
  <c r="N479" i="9" s="1"/>
  <c r="K497" i="12"/>
  <c r="H498" i="12"/>
  <c r="H548" i="9" s="1"/>
  <c r="H556" i="12"/>
  <c r="H620" i="9" s="1"/>
  <c r="I247" i="12"/>
  <c r="I262" i="9" s="1"/>
  <c r="H271" i="12"/>
  <c r="H286" i="9" s="1"/>
  <c r="J394" i="12"/>
  <c r="J433" i="9" s="1"/>
  <c r="G396" i="12"/>
  <c r="N405" i="12"/>
  <c r="G405" i="12" s="1"/>
  <c r="H405" i="12"/>
  <c r="H444" i="9" s="1"/>
  <c r="G438" i="12"/>
  <c r="J437" i="12"/>
  <c r="J476" i="9" s="1"/>
  <c r="N537" i="12"/>
  <c r="N597" i="9" s="1"/>
  <c r="N531" i="12"/>
  <c r="M555" i="12"/>
  <c r="K374" i="12"/>
  <c r="K413" i="9" s="1"/>
  <c r="K372" i="12"/>
  <c r="K411" i="9" s="1"/>
  <c r="H373" i="12"/>
  <c r="H403" i="12"/>
  <c r="H442" i="9" s="1"/>
  <c r="I437" i="12"/>
  <c r="I476" i="9" s="1"/>
  <c r="H465" i="12"/>
  <c r="H515" i="9" s="1"/>
  <c r="K462" i="12"/>
  <c r="K512" i="9" s="1"/>
  <c r="H485" i="12"/>
  <c r="H535" i="9" s="1"/>
  <c r="K482" i="12"/>
  <c r="K532" i="9" s="1"/>
  <c r="J485" i="12"/>
  <c r="J535" i="9" s="1"/>
  <c r="I497" i="12"/>
  <c r="I547" i="9" s="1"/>
  <c r="I523" i="12"/>
  <c r="I583" i="9" s="1"/>
  <c r="L514" i="12"/>
  <c r="L574" i="9" s="1"/>
  <c r="G534" i="12"/>
  <c r="G537" i="12"/>
  <c r="G545" i="12"/>
  <c r="G267" i="12"/>
  <c r="G282" i="9" s="1"/>
  <c r="H321" i="12"/>
  <c r="H354" i="9" s="1"/>
  <c r="I377" i="12"/>
  <c r="I416" i="9" s="1"/>
  <c r="L376" i="12"/>
  <c r="L415" i="9" s="1"/>
  <c r="M418" i="12"/>
  <c r="M457" i="9" s="1"/>
  <c r="J508" i="12"/>
  <c r="J558" i="9" s="1"/>
  <c r="L346" i="12"/>
  <c r="L385" i="9" s="1"/>
  <c r="I348" i="12"/>
  <c r="I387" i="9" s="1"/>
  <c r="P359" i="12"/>
  <c r="G432" i="12"/>
  <c r="G471" i="9" s="1"/>
  <c r="N431" i="12"/>
  <c r="N470" i="9" s="1"/>
  <c r="H436" i="12"/>
  <c r="H475" i="9" s="1"/>
  <c r="K438" i="12"/>
  <c r="K435" i="12"/>
  <c r="I471" i="12"/>
  <c r="I521" i="9" s="1"/>
  <c r="C477" i="12"/>
  <c r="Q536" i="12"/>
  <c r="G558" i="12"/>
  <c r="G622" i="9" s="1"/>
  <c r="G440" i="12"/>
  <c r="G479" i="9" s="1"/>
  <c r="H470" i="12"/>
  <c r="H520" i="9" s="1"/>
  <c r="K467" i="12"/>
  <c r="K517" i="9" s="1"/>
  <c r="L487" i="12"/>
  <c r="L537" i="9" s="1"/>
  <c r="I488" i="12"/>
  <c r="I538" i="9" s="1"/>
  <c r="C514" i="12"/>
  <c r="L555" i="12"/>
  <c r="I559" i="12"/>
  <c r="I623" i="9" s="1"/>
  <c r="G387" i="12"/>
  <c r="N386" i="12"/>
  <c r="N425" i="9" s="1"/>
  <c r="L423" i="12"/>
  <c r="L462" i="9" s="1"/>
  <c r="I428" i="12"/>
  <c r="I467" i="9" s="1"/>
  <c r="I476" i="12"/>
  <c r="I526" i="9" s="1"/>
  <c r="G552" i="12"/>
  <c r="G612" i="9" s="1"/>
  <c r="H398" i="12"/>
  <c r="H437" i="9" s="1"/>
  <c r="G407" i="12"/>
  <c r="G446" i="9" s="1"/>
  <c r="G540" i="12"/>
  <c r="J546" i="12"/>
  <c r="J606" i="9" s="1"/>
  <c r="I557" i="12"/>
  <c r="I621" i="9" s="1"/>
  <c r="H446" i="12"/>
  <c r="H485" i="9" s="1"/>
  <c r="J527" i="12"/>
  <c r="J587" i="9" s="1"/>
  <c r="J535" i="12"/>
  <c r="J595" i="9" s="1"/>
  <c r="N544" i="12"/>
  <c r="N604" i="9" s="1"/>
  <c r="J557" i="12"/>
  <c r="H559" i="12"/>
  <c r="H623" i="9" s="1"/>
  <c r="N566" i="12"/>
  <c r="N630" i="9" s="1"/>
  <c r="H414" i="12"/>
  <c r="H453" i="9" s="1"/>
  <c r="N563" i="12"/>
  <c r="H348" i="12"/>
  <c r="H387" i="9" s="1"/>
  <c r="J531" i="12"/>
  <c r="J591" i="9" s="1"/>
  <c r="K488" i="12"/>
  <c r="K538" i="9" s="1"/>
  <c r="I490" i="12"/>
  <c r="I540" i="9" s="1"/>
  <c r="H495" i="12"/>
  <c r="H545" i="9" s="1"/>
  <c r="I498" i="12"/>
  <c r="I548" i="9" s="1"/>
  <c r="G500" i="12"/>
  <c r="I503" i="12"/>
  <c r="I553" i="9" s="1"/>
  <c r="G505" i="12"/>
  <c r="K508" i="12"/>
  <c r="K558" i="9" s="1"/>
  <c r="N369" i="12"/>
  <c r="N408" i="9" s="1"/>
  <c r="K493" i="12"/>
  <c r="K543" i="9" s="1"/>
  <c r="I495" i="12"/>
  <c r="I545" i="9" s="1"/>
  <c r="H500" i="12"/>
  <c r="H550" i="9" s="1"/>
  <c r="H505" i="12"/>
  <c r="H555" i="9" s="1"/>
  <c r="N446" i="12"/>
  <c r="N485" i="9" s="1"/>
  <c r="N450" i="12"/>
  <c r="K390" i="9" l="1"/>
  <c r="J543" i="9"/>
  <c r="J492" i="12"/>
  <c r="G493" i="12"/>
  <c r="G543" i="9" s="1"/>
  <c r="D403" i="12"/>
  <c r="G444" i="9"/>
  <c r="H339" i="12"/>
  <c r="H378" i="9" s="1"/>
  <c r="K378" i="9"/>
  <c r="K243" i="12"/>
  <c r="K259" i="9"/>
  <c r="H244" i="12"/>
  <c r="H259" i="9" s="1"/>
  <c r="O46" i="12"/>
  <c r="O46" i="9" s="1"/>
  <c r="G103" i="12"/>
  <c r="G115" i="9" s="1"/>
  <c r="J115" i="9"/>
  <c r="N481" i="12"/>
  <c r="N531" i="9" s="1"/>
  <c r="N532" i="9"/>
  <c r="G427" i="12"/>
  <c r="G466" i="9" s="1"/>
  <c r="I13" i="12"/>
  <c r="I13" i="9" s="1"/>
  <c r="I239" i="9"/>
  <c r="O242" i="12"/>
  <c r="O257" i="9" s="1"/>
  <c r="D277" i="12"/>
  <c r="D292" i="9" s="1"/>
  <c r="D293" i="9"/>
  <c r="H159" i="12"/>
  <c r="H174" i="9" s="1"/>
  <c r="K174" i="9"/>
  <c r="N437" i="12"/>
  <c r="N476" i="9" s="1"/>
  <c r="N477" i="9"/>
  <c r="G165" i="12"/>
  <c r="G180" i="9" s="1"/>
  <c r="N15" i="12"/>
  <c r="N15" i="9" s="1"/>
  <c r="I304" i="12"/>
  <c r="I337" i="9" s="1"/>
  <c r="L337" i="9"/>
  <c r="N116" i="12"/>
  <c r="N132" i="9"/>
  <c r="N50" i="9"/>
  <c r="G156" i="12"/>
  <c r="G171" i="9" s="1"/>
  <c r="J171" i="9"/>
  <c r="J48" i="12"/>
  <c r="J48" i="9" s="1"/>
  <c r="G348" i="12"/>
  <c r="J387" i="9"/>
  <c r="G72" i="12"/>
  <c r="J72" i="9"/>
  <c r="J70" i="12"/>
  <c r="J70" i="9" s="1"/>
  <c r="N75" i="9"/>
  <c r="N74" i="12"/>
  <c r="N74" i="9" s="1"/>
  <c r="N284" i="12"/>
  <c r="N300" i="9"/>
  <c r="G452" i="12"/>
  <c r="G491" i="9" s="1"/>
  <c r="G490" i="9"/>
  <c r="Q55" i="12"/>
  <c r="Q55" i="9" s="1"/>
  <c r="N156" i="12"/>
  <c r="N171" i="9" s="1"/>
  <c r="N172" i="9"/>
  <c r="E346" i="12"/>
  <c r="G389" i="9"/>
  <c r="N153" i="12"/>
  <c r="N168" i="9" s="1"/>
  <c r="N169" i="9"/>
  <c r="E100" i="12"/>
  <c r="G116" i="9"/>
  <c r="Q278" i="12"/>
  <c r="Q294" i="9"/>
  <c r="P132" i="12"/>
  <c r="P147" i="9" s="1"/>
  <c r="P148" i="9"/>
  <c r="N466" i="12"/>
  <c r="N516" i="9" s="1"/>
  <c r="N517" i="9"/>
  <c r="N144" i="9"/>
  <c r="N128" i="12"/>
  <c r="L394" i="9"/>
  <c r="I355" i="12"/>
  <c r="I394" i="9" s="1"/>
  <c r="J331" i="9"/>
  <c r="J297" i="12"/>
  <c r="N121" i="12"/>
  <c r="N136" i="9" s="1"/>
  <c r="N137" i="9"/>
  <c r="M163" i="12"/>
  <c r="M179" i="9"/>
  <c r="C498" i="12"/>
  <c r="G550" i="9"/>
  <c r="J556" i="12"/>
  <c r="J620" i="9" s="1"/>
  <c r="N300" i="12"/>
  <c r="N334" i="9"/>
  <c r="Q555" i="12"/>
  <c r="H29" i="12"/>
  <c r="H29" i="9" s="1"/>
  <c r="K29" i="9"/>
  <c r="G580" i="9"/>
  <c r="G521" i="12"/>
  <c r="G581" i="9" s="1"/>
  <c r="L7" i="12"/>
  <c r="L619" i="9"/>
  <c r="G446" i="12"/>
  <c r="G485" i="9" s="1"/>
  <c r="J497" i="12"/>
  <c r="G549" i="12"/>
  <c r="G609" i="9" s="1"/>
  <c r="G608" i="9"/>
  <c r="H210" i="12"/>
  <c r="H225" i="9" s="1"/>
  <c r="H360" i="12"/>
  <c r="H399" i="9" s="1"/>
  <c r="C133" i="12"/>
  <c r="C149" i="9"/>
  <c r="E96" i="12"/>
  <c r="G110" i="9"/>
  <c r="I431" i="12"/>
  <c r="I470" i="9" s="1"/>
  <c r="H439" i="12"/>
  <c r="Q162" i="12"/>
  <c r="Q177" i="9" s="1"/>
  <c r="M278" i="12"/>
  <c r="J153" i="12"/>
  <c r="D185" i="12"/>
  <c r="G201" i="9"/>
  <c r="N108" i="12"/>
  <c r="N121" i="9"/>
  <c r="D17" i="12"/>
  <c r="P93" i="12"/>
  <c r="P105" i="9" s="1"/>
  <c r="P106" i="9"/>
  <c r="H153" i="12"/>
  <c r="H168" i="9" s="1"/>
  <c r="K168" i="9"/>
  <c r="M243" i="12"/>
  <c r="M258" i="9" s="1"/>
  <c r="M259" i="9"/>
  <c r="G382" i="12"/>
  <c r="G421" i="9" s="1"/>
  <c r="G420" i="9"/>
  <c r="N226" i="9"/>
  <c r="N210" i="12"/>
  <c r="N225" i="9" s="1"/>
  <c r="L478" i="9"/>
  <c r="I439" i="12"/>
  <c r="I478" i="9" s="1"/>
  <c r="N249" i="12"/>
  <c r="N264" i="9" s="1"/>
  <c r="N265" i="9"/>
  <c r="M202" i="12"/>
  <c r="M217" i="9" s="1"/>
  <c r="M218" i="9"/>
  <c r="J379" i="9"/>
  <c r="J339" i="12"/>
  <c r="M506" i="9"/>
  <c r="M455" i="12"/>
  <c r="M505" i="9" s="1"/>
  <c r="Q127" i="12"/>
  <c r="Q142" i="9" s="1"/>
  <c r="Q143" i="9"/>
  <c r="L47" i="9"/>
  <c r="I47" i="12"/>
  <c r="I47" i="9" s="1"/>
  <c r="J163" i="9"/>
  <c r="J147" i="12"/>
  <c r="Q528" i="12"/>
  <c r="Q588" i="9" s="1"/>
  <c r="Q589" i="9"/>
  <c r="J453" i="9"/>
  <c r="J411" i="12"/>
  <c r="I246" i="12"/>
  <c r="I261" i="9" s="1"/>
  <c r="P261" i="9"/>
  <c r="H86" i="12"/>
  <c r="H86" i="9" s="1"/>
  <c r="K86" i="9"/>
  <c r="H435" i="12"/>
  <c r="H474" i="9" s="1"/>
  <c r="K474" i="9"/>
  <c r="H497" i="12"/>
  <c r="H547" i="9" s="1"/>
  <c r="K547" i="9"/>
  <c r="H359" i="12"/>
  <c r="H398" i="9" s="1"/>
  <c r="K398" i="9"/>
  <c r="D219" i="12"/>
  <c r="G235" i="9"/>
  <c r="I271" i="12"/>
  <c r="I286" i="9" s="1"/>
  <c r="L286" i="9"/>
  <c r="H239" i="12"/>
  <c r="H254" i="9" s="1"/>
  <c r="K254" i="9"/>
  <c r="I144" i="12"/>
  <c r="I159" i="9" s="1"/>
  <c r="P159" i="9"/>
  <c r="D166" i="12"/>
  <c r="G182" i="9"/>
  <c r="N471" i="12"/>
  <c r="N521" i="9" s="1"/>
  <c r="N522" i="9"/>
  <c r="H397" i="12"/>
  <c r="H436" i="9" s="1"/>
  <c r="K436" i="9"/>
  <c r="E113" i="12"/>
  <c r="G130" i="9"/>
  <c r="H438" i="12"/>
  <c r="H477" i="9" s="1"/>
  <c r="K477" i="9"/>
  <c r="D436" i="12"/>
  <c r="G477" i="9"/>
  <c r="G559" i="12"/>
  <c r="G623" i="9" s="1"/>
  <c r="J355" i="12"/>
  <c r="M46" i="12"/>
  <c r="M47" i="9"/>
  <c r="G219" i="12"/>
  <c r="G234" i="9" s="1"/>
  <c r="J234" i="9"/>
  <c r="I262" i="12"/>
  <c r="I277" i="9" s="1"/>
  <c r="L277" i="9"/>
  <c r="D192" i="12"/>
  <c r="G208" i="9"/>
  <c r="Q111" i="12"/>
  <c r="H90" i="12"/>
  <c r="H90" i="9" s="1"/>
  <c r="K90" i="9"/>
  <c r="E536" i="12"/>
  <c r="G598" i="9"/>
  <c r="H121" i="12"/>
  <c r="H136" i="9" s="1"/>
  <c r="K136" i="9"/>
  <c r="P55" i="12"/>
  <c r="P55" i="9" s="1"/>
  <c r="P56" i="9"/>
  <c r="N559" i="12"/>
  <c r="N623" i="9" s="1"/>
  <c r="O623" i="9"/>
  <c r="E454" i="12"/>
  <c r="E536" i="9"/>
  <c r="N476" i="12"/>
  <c r="N526" i="9" s="1"/>
  <c r="N527" i="9"/>
  <c r="P278" i="12"/>
  <c r="P294" i="9"/>
  <c r="H406" i="12"/>
  <c r="H445" i="9" s="1"/>
  <c r="K445" i="9"/>
  <c r="N332" i="12"/>
  <c r="N372" i="9"/>
  <c r="M78" i="12"/>
  <c r="M79" i="9"/>
  <c r="I150" i="12"/>
  <c r="I165" i="9" s="1"/>
  <c r="L165" i="9"/>
  <c r="N254" i="12"/>
  <c r="N269" i="9" s="1"/>
  <c r="N270" i="9"/>
  <c r="I163" i="12"/>
  <c r="I178" i="9" s="1"/>
  <c r="H300" i="12"/>
  <c r="H333" i="9" s="1"/>
  <c r="K333" i="9"/>
  <c r="K296" i="12"/>
  <c r="K329" i="9" s="1"/>
  <c r="N562" i="12"/>
  <c r="N626" i="9" s="1"/>
  <c r="O626" i="9"/>
  <c r="D513" i="12"/>
  <c r="D574" i="9"/>
  <c r="P127" i="12"/>
  <c r="P142" i="9" s="1"/>
  <c r="P143" i="9"/>
  <c r="C503" i="12"/>
  <c r="G555" i="9"/>
  <c r="D328" i="12"/>
  <c r="G362" i="9"/>
  <c r="J80" i="12"/>
  <c r="J81" i="9"/>
  <c r="G81" i="12"/>
  <c r="G81" i="9" s="1"/>
  <c r="M82" i="12"/>
  <c r="M82" i="9" s="1"/>
  <c r="M83" i="9"/>
  <c r="G150" i="12"/>
  <c r="G165" i="9" s="1"/>
  <c r="J165" i="9"/>
  <c r="G68" i="12"/>
  <c r="G68" i="9" s="1"/>
  <c r="D372" i="12"/>
  <c r="D412" i="9"/>
  <c r="G543" i="12"/>
  <c r="G603" i="9" s="1"/>
  <c r="G602" i="9"/>
  <c r="G96" i="12"/>
  <c r="G108" i="9" s="1"/>
  <c r="J108" i="9"/>
  <c r="N548" i="9"/>
  <c r="N497" i="12"/>
  <c r="N547" i="9" s="1"/>
  <c r="N461" i="12"/>
  <c r="N511" i="9" s="1"/>
  <c r="N512" i="9"/>
  <c r="N433" i="9"/>
  <c r="N393" i="12"/>
  <c r="N432" i="9" s="1"/>
  <c r="N150" i="12"/>
  <c r="N165" i="9" s="1"/>
  <c r="N166" i="9"/>
  <c r="C78" i="9"/>
  <c r="C77" i="12"/>
  <c r="C77" i="9" s="1"/>
  <c r="N60" i="12"/>
  <c r="N61" i="9"/>
  <c r="N556" i="12"/>
  <c r="P620" i="9"/>
  <c r="P555" i="12"/>
  <c r="G448" i="9"/>
  <c r="D407" i="12"/>
  <c r="D321" i="12"/>
  <c r="G355" i="9"/>
  <c r="H108" i="12"/>
  <c r="H120" i="9" s="1"/>
  <c r="O120" i="9"/>
  <c r="G226" i="12"/>
  <c r="G241" i="9" s="1"/>
  <c r="I141" i="12"/>
  <c r="I156" i="9" s="1"/>
  <c r="L156" i="9"/>
  <c r="J232" i="9"/>
  <c r="G217" i="12"/>
  <c r="G232" i="9" s="1"/>
  <c r="E57" i="12"/>
  <c r="G59" i="9"/>
  <c r="K416" i="9"/>
  <c r="K376" i="12"/>
  <c r="K415" i="9" s="1"/>
  <c r="N312" i="12"/>
  <c r="N345" i="9" s="1"/>
  <c r="N346" i="9"/>
  <c r="N239" i="12"/>
  <c r="N254" i="9" s="1"/>
  <c r="N255" i="9"/>
  <c r="N449" i="12"/>
  <c r="N488" i="9" s="1"/>
  <c r="N489" i="9"/>
  <c r="G541" i="12"/>
  <c r="G601" i="9" s="1"/>
  <c r="G600" i="9"/>
  <c r="I336" i="12"/>
  <c r="I375" i="9" s="1"/>
  <c r="G445" i="12"/>
  <c r="G484" i="9" s="1"/>
  <c r="G483" i="9"/>
  <c r="H562" i="12"/>
  <c r="H626" i="9" s="1"/>
  <c r="O296" i="12"/>
  <c r="G356" i="12"/>
  <c r="G395" i="9" s="1"/>
  <c r="G102" i="12"/>
  <c r="J114" i="9"/>
  <c r="C229" i="12"/>
  <c r="P242" i="12"/>
  <c r="P257" i="9" s="1"/>
  <c r="N11" i="12"/>
  <c r="N11" i="9" s="1"/>
  <c r="N12" i="9"/>
  <c r="Q18" i="12"/>
  <c r="Q19" i="9"/>
  <c r="I108" i="12"/>
  <c r="I120" i="9" s="1"/>
  <c r="L120" i="9"/>
  <c r="G88" i="12"/>
  <c r="G88" i="9" s="1"/>
  <c r="Q132" i="12"/>
  <c r="C462" i="12"/>
  <c r="G515" i="9"/>
  <c r="J141" i="12"/>
  <c r="J157" i="9"/>
  <c r="H371" i="12"/>
  <c r="H410" i="9" s="1"/>
  <c r="H409" i="9"/>
  <c r="J281" i="9"/>
  <c r="J265" i="12"/>
  <c r="G266" i="12"/>
  <c r="G281" i="9" s="1"/>
  <c r="I138" i="12"/>
  <c r="I153" i="9" s="1"/>
  <c r="L153" i="9"/>
  <c r="K345" i="9"/>
  <c r="H312" i="12"/>
  <c r="H345" i="9" s="1"/>
  <c r="G45" i="12"/>
  <c r="G45" i="9" s="1"/>
  <c r="J45" i="9"/>
  <c r="J44" i="12"/>
  <c r="N221" i="12"/>
  <c r="N236" i="9" s="1"/>
  <c r="N241" i="9"/>
  <c r="M142" i="9"/>
  <c r="I556" i="12"/>
  <c r="N316" i="12"/>
  <c r="N349" i="9" s="1"/>
  <c r="N350" i="9"/>
  <c r="J219" i="9"/>
  <c r="J203" i="12"/>
  <c r="K67" i="12"/>
  <c r="K68" i="9"/>
  <c r="H68" i="12"/>
  <c r="H68" i="9" s="1"/>
  <c r="I70" i="12"/>
  <c r="I70" i="9" s="1"/>
  <c r="L70" i="9"/>
  <c r="G53" i="12"/>
  <c r="G53" i="9" s="1"/>
  <c r="J53" i="9"/>
  <c r="K63" i="9"/>
  <c r="H63" i="12"/>
  <c r="H63" i="9" s="1"/>
  <c r="N406" i="12"/>
  <c r="N446" i="9"/>
  <c r="J336" i="12"/>
  <c r="J376" i="9"/>
  <c r="G337" i="12"/>
  <c r="G376" i="9" s="1"/>
  <c r="Q531" i="12"/>
  <c r="Q591" i="9" s="1"/>
  <c r="Q596" i="9"/>
  <c r="M213" i="12"/>
  <c r="M228" i="9" s="1"/>
  <c r="M243" i="9"/>
  <c r="G287" i="12"/>
  <c r="J302" i="9"/>
  <c r="O18" i="12"/>
  <c r="O19" i="9"/>
  <c r="I406" i="12"/>
  <c r="I445" i="9" s="1"/>
  <c r="P445" i="9"/>
  <c r="G192" i="12"/>
  <c r="G207" i="9" s="1"/>
  <c r="J207" i="9"/>
  <c r="M150" i="12"/>
  <c r="M166" i="9"/>
  <c r="M392" i="12"/>
  <c r="M431" i="9" s="1"/>
  <c r="H355" i="12"/>
  <c r="H394" i="9" s="1"/>
  <c r="K394" i="9"/>
  <c r="H449" i="12"/>
  <c r="H488" i="9" s="1"/>
  <c r="K488" i="9"/>
  <c r="M296" i="12"/>
  <c r="M333" i="9"/>
  <c r="N487" i="12"/>
  <c r="N538" i="9"/>
  <c r="I41" i="12"/>
  <c r="I41" i="9" s="1"/>
  <c r="L41" i="9"/>
  <c r="N456" i="12"/>
  <c r="N507" i="9"/>
  <c r="D333" i="12"/>
  <c r="G374" i="9"/>
  <c r="N83" i="12"/>
  <c r="N84" i="9"/>
  <c r="Q79" i="9"/>
  <c r="Q78" i="12"/>
  <c r="H262" i="12"/>
  <c r="H277" i="9" s="1"/>
  <c r="O277" i="9"/>
  <c r="M513" i="12"/>
  <c r="M574" i="9"/>
  <c r="N565" i="12"/>
  <c r="N629" i="9" s="1"/>
  <c r="O629" i="9"/>
  <c r="P111" i="12"/>
  <c r="P126" i="9" s="1"/>
  <c r="P131" i="9"/>
  <c r="O430" i="12"/>
  <c r="O469" i="9" s="1"/>
  <c r="O470" i="9"/>
  <c r="N281" i="9"/>
  <c r="N265" i="12"/>
  <c r="N280" i="9" s="1"/>
  <c r="O82" i="12"/>
  <c r="O82" i="9" s="1"/>
  <c r="O83" i="9"/>
  <c r="N514" i="12"/>
  <c r="N591" i="9"/>
  <c r="O308" i="12"/>
  <c r="O341" i="9" s="1"/>
  <c r="O356" i="9"/>
  <c r="I492" i="12"/>
  <c r="I542" i="9" s="1"/>
  <c r="L542" i="9"/>
  <c r="P82" i="12"/>
  <c r="P82" i="9" s="1"/>
  <c r="P83" i="9"/>
  <c r="H41" i="12"/>
  <c r="H41" i="9" s="1"/>
  <c r="K41" i="9"/>
  <c r="N403" i="12"/>
  <c r="N444" i="9"/>
  <c r="N357" i="9"/>
  <c r="N323" i="12"/>
  <c r="N356" i="9" s="1"/>
  <c r="G527" i="12"/>
  <c r="G587" i="9" s="1"/>
  <c r="G586" i="9"/>
  <c r="G304" i="12"/>
  <c r="G337" i="9" s="1"/>
  <c r="J337" i="9"/>
  <c r="L228" i="12"/>
  <c r="L244" i="9"/>
  <c r="J175" i="9"/>
  <c r="J159" i="12"/>
  <c r="I323" i="12"/>
  <c r="I356" i="9" s="1"/>
  <c r="P356" i="9"/>
  <c r="N207" i="12"/>
  <c r="N222" i="9" s="1"/>
  <c r="N223" i="9"/>
  <c r="N289" i="12"/>
  <c r="N304" i="9" s="1"/>
  <c r="N305" i="9"/>
  <c r="G388" i="12"/>
  <c r="G427" i="9" s="1"/>
  <c r="N427" i="9"/>
  <c r="M197" i="12"/>
  <c r="M212" i="9" s="1"/>
  <c r="M213" i="9"/>
  <c r="I393" i="12"/>
  <c r="I432" i="9" s="1"/>
  <c r="D394" i="12"/>
  <c r="G435" i="9"/>
  <c r="G442" i="12"/>
  <c r="G481" i="9" s="1"/>
  <c r="G480" i="9"/>
  <c r="H379" i="12"/>
  <c r="K418" i="9"/>
  <c r="M351" i="12"/>
  <c r="M391" i="9"/>
  <c r="K555" i="12"/>
  <c r="D234" i="12"/>
  <c r="G250" i="9"/>
  <c r="G70" i="12"/>
  <c r="G70" i="9" s="1"/>
  <c r="N70" i="9"/>
  <c r="I173" i="12"/>
  <c r="I188" i="9" s="1"/>
  <c r="L188" i="9"/>
  <c r="G178" i="12"/>
  <c r="G193" i="9" s="1"/>
  <c r="N193" i="9"/>
  <c r="I455" i="12"/>
  <c r="I505" i="9" s="1"/>
  <c r="N410" i="12"/>
  <c r="N449" i="9" s="1"/>
  <c r="N450" i="9"/>
  <c r="O277" i="12"/>
  <c r="O292" i="9" s="1"/>
  <c r="O293" i="9"/>
  <c r="I99" i="12"/>
  <c r="I111" i="9" s="1"/>
  <c r="L111" i="9"/>
  <c r="G54" i="12"/>
  <c r="H14" i="12"/>
  <c r="H14" i="9" s="1"/>
  <c r="H59" i="9"/>
  <c r="O132" i="12"/>
  <c r="O147" i="9" s="1"/>
  <c r="O159" i="9"/>
  <c r="I202" i="12"/>
  <c r="I217" i="9" s="1"/>
  <c r="L217" i="9"/>
  <c r="D403" i="9"/>
  <c r="D359" i="12"/>
  <c r="D398" i="9" s="1"/>
  <c r="I268" i="12"/>
  <c r="I283" i="9" s="1"/>
  <c r="L283" i="9"/>
  <c r="J60" i="12"/>
  <c r="J61" i="9"/>
  <c r="G61" i="12"/>
  <c r="G61" i="9" s="1"/>
  <c r="I562" i="12"/>
  <c r="I626" i="9" s="1"/>
  <c r="L626" i="9"/>
  <c r="N124" i="12"/>
  <c r="N139" i="9" s="1"/>
  <c r="N140" i="9"/>
  <c r="Q66" i="12"/>
  <c r="Q66" i="9" s="1"/>
  <c r="Q74" i="9"/>
  <c r="G422" i="9"/>
  <c r="D381" i="12"/>
  <c r="N160" i="9"/>
  <c r="N144" i="12"/>
  <c r="N159" i="9" s="1"/>
  <c r="N359" i="12"/>
  <c r="N398" i="9" s="1"/>
  <c r="L222" i="9"/>
  <c r="I207" i="12"/>
  <c r="I222" i="9" s="1"/>
  <c r="J154" i="9"/>
  <c r="J138" i="12"/>
  <c r="H88" i="12"/>
  <c r="H88" i="9" s="1"/>
  <c r="K88" i="9"/>
  <c r="O512" i="12"/>
  <c r="O572" i="9" s="1"/>
  <c r="O573" i="9"/>
  <c r="G433" i="12"/>
  <c r="G472" i="9" s="1"/>
  <c r="M472" i="9"/>
  <c r="I312" i="12"/>
  <c r="I345" i="9" s="1"/>
  <c r="L345" i="9"/>
  <c r="O55" i="12"/>
  <c r="O55" i="9" s="1"/>
  <c r="O60" i="9"/>
  <c r="N259" i="9"/>
  <c r="N243" i="12"/>
  <c r="N258" i="9" s="1"/>
  <c r="H202" i="12"/>
  <c r="H217" i="9" s="1"/>
  <c r="G39" i="12"/>
  <c r="G39" i="9" s="1"/>
  <c r="J39" i="9"/>
  <c r="I100" i="12"/>
  <c r="I112" i="9" s="1"/>
  <c r="L112" i="9"/>
  <c r="I332" i="12"/>
  <c r="I371" i="9" s="1"/>
  <c r="J12" i="12"/>
  <c r="J206" i="9"/>
  <c r="M194" i="12"/>
  <c r="M209" i="9" s="1"/>
  <c r="M210" i="9"/>
  <c r="C181" i="12"/>
  <c r="G198" i="9"/>
  <c r="C476" i="12"/>
  <c r="C526" i="9" s="1"/>
  <c r="C527" i="9"/>
  <c r="P430" i="12"/>
  <c r="N187" i="12"/>
  <c r="N202" i="9" s="1"/>
  <c r="N203" i="9"/>
  <c r="C203" i="12"/>
  <c r="G220" i="9"/>
  <c r="Q82" i="12"/>
  <c r="Q82" i="9" s="1"/>
  <c r="Q83" i="9"/>
  <c r="G362" i="12"/>
  <c r="J401" i="9"/>
  <c r="C466" i="12"/>
  <c r="C516" i="9" s="1"/>
  <c r="C517" i="9"/>
  <c r="H342" i="12"/>
  <c r="H381" i="9" s="1"/>
  <c r="K381" i="9"/>
  <c r="H26" i="12"/>
  <c r="H26" i="9" s="1"/>
  <c r="O127" i="12"/>
  <c r="O142" i="9" s="1"/>
  <c r="O143" i="9"/>
  <c r="Q544" i="12"/>
  <c r="Q604" i="9" s="1"/>
  <c r="Q605" i="9"/>
  <c r="E277" i="12"/>
  <c r="E292" i="9" s="1"/>
  <c r="E293" i="9"/>
  <c r="P513" i="12"/>
  <c r="P574" i="9"/>
  <c r="D356" i="12"/>
  <c r="G397" i="9"/>
  <c r="H34" i="12"/>
  <c r="H34" i="9" s="1"/>
  <c r="K34" i="9"/>
  <c r="M196" i="9"/>
  <c r="M180" i="12"/>
  <c r="M195" i="9" s="1"/>
  <c r="N214" i="12"/>
  <c r="N230" i="9"/>
  <c r="I433" i="12"/>
  <c r="I472" i="9" s="1"/>
  <c r="L472" i="9"/>
  <c r="N342" i="12"/>
  <c r="N381" i="9" s="1"/>
  <c r="N382" i="9"/>
  <c r="P455" i="12"/>
  <c r="N79" i="12"/>
  <c r="N80" i="9"/>
  <c r="D389" i="12"/>
  <c r="G430" i="9"/>
  <c r="J160" i="9"/>
  <c r="J144" i="12"/>
  <c r="Q547" i="12"/>
  <c r="Q607" i="9" s="1"/>
  <c r="Q608" i="9"/>
  <c r="N236" i="12"/>
  <c r="N251" i="9" s="1"/>
  <c r="N252" i="9"/>
  <c r="G517" i="12"/>
  <c r="G577" i="9" s="1"/>
  <c r="G576" i="9"/>
  <c r="E229" i="12"/>
  <c r="G248" i="9"/>
  <c r="I297" i="12"/>
  <c r="I330" i="9" s="1"/>
  <c r="L330" i="9"/>
  <c r="M18" i="12"/>
  <c r="M18" i="9" s="1"/>
  <c r="M19" i="9"/>
  <c r="J134" i="9"/>
  <c r="G119" i="12"/>
  <c r="G134" i="9" s="1"/>
  <c r="N202" i="12"/>
  <c r="N217" i="9" s="1"/>
  <c r="N218" i="9"/>
  <c r="N29" i="12"/>
  <c r="N29" i="9" s="1"/>
  <c r="N30" i="9"/>
  <c r="Q600" i="9"/>
  <c r="Q539" i="12"/>
  <c r="Q599" i="9" s="1"/>
  <c r="J273" i="9"/>
  <c r="G258" i="12"/>
  <c r="G273" i="9" s="1"/>
  <c r="I565" i="12"/>
  <c r="I629" i="9" s="1"/>
  <c r="L629" i="9"/>
  <c r="N138" i="12"/>
  <c r="N153" i="9" s="1"/>
  <c r="N154" i="9"/>
  <c r="I342" i="12"/>
  <c r="I381" i="9" s="1"/>
  <c r="H427" i="12"/>
  <c r="H466" i="9" s="1"/>
  <c r="O351" i="12"/>
  <c r="O390" i="9" s="1"/>
  <c r="O391" i="9"/>
  <c r="J624" i="9"/>
  <c r="G560" i="12"/>
  <c r="G624" i="9" s="1"/>
  <c r="N274" i="12"/>
  <c r="N289" i="9" s="1"/>
  <c r="N290" i="9"/>
  <c r="I449" i="12"/>
  <c r="P488" i="9"/>
  <c r="I180" i="12"/>
  <c r="I195" i="9" s="1"/>
  <c r="L195" i="9"/>
  <c r="H74" i="12"/>
  <c r="H74" i="9" s="1"/>
  <c r="K74" i="9"/>
  <c r="J164" i="12"/>
  <c r="J179" i="9" s="1"/>
  <c r="E515" i="12"/>
  <c r="E580" i="9"/>
  <c r="G283" i="12"/>
  <c r="G298" i="9" s="1"/>
  <c r="J298" i="9"/>
  <c r="G185" i="12"/>
  <c r="G200" i="9" s="1"/>
  <c r="J200" i="9"/>
  <c r="H502" i="12"/>
  <c r="H552" i="9" s="1"/>
  <c r="K552" i="9"/>
  <c r="G234" i="12"/>
  <c r="G249" i="9" s="1"/>
  <c r="N249" i="9"/>
  <c r="P398" i="9"/>
  <c r="G546" i="12"/>
  <c r="G606" i="9" s="1"/>
  <c r="G605" i="9"/>
  <c r="H374" i="12"/>
  <c r="H413" i="9" s="1"/>
  <c r="H412" i="9"/>
  <c r="I397" i="12"/>
  <c r="I436" i="9" s="1"/>
  <c r="I187" i="12"/>
  <c r="I202" i="9" s="1"/>
  <c r="L202" i="9"/>
  <c r="G495" i="12"/>
  <c r="J545" i="9"/>
  <c r="H393" i="12"/>
  <c r="H432" i="9" s="1"/>
  <c r="H268" i="12"/>
  <c r="H283" i="9" s="1"/>
  <c r="G366" i="12"/>
  <c r="G405" i="9" s="1"/>
  <c r="J405" i="9"/>
  <c r="K280" i="9"/>
  <c r="H265" i="12"/>
  <c r="H280" i="9" s="1"/>
  <c r="N108" i="9"/>
  <c r="N95" i="12"/>
  <c r="N107" i="9" s="1"/>
  <c r="P18" i="12"/>
  <c r="P18" i="9" s="1"/>
  <c r="P19" i="9"/>
  <c r="J376" i="12"/>
  <c r="J416" i="9"/>
  <c r="D178" i="12"/>
  <c r="G194" i="9"/>
  <c r="J346" i="12"/>
  <c r="J385" i="9" s="1"/>
  <c r="G535" i="12"/>
  <c r="G595" i="9" s="1"/>
  <c r="G594" i="9"/>
  <c r="O331" i="12"/>
  <c r="O370" i="9" s="1"/>
  <c r="P351" i="12"/>
  <c r="P390" i="9" s="1"/>
  <c r="G530" i="12"/>
  <c r="G590" i="9" s="1"/>
  <c r="G589" i="9"/>
  <c r="D226" i="12"/>
  <c r="G242" i="9"/>
  <c r="G194" i="12"/>
  <c r="G209" i="9" s="1"/>
  <c r="J209" i="9"/>
  <c r="O415" i="9"/>
  <c r="O9" i="12"/>
  <c r="P331" i="12"/>
  <c r="P370" i="9" s="1"/>
  <c r="P378" i="9"/>
  <c r="G397" i="12"/>
  <c r="G436" i="9" s="1"/>
  <c r="J436" i="9"/>
  <c r="G566" i="12"/>
  <c r="G630" i="9" s="1"/>
  <c r="J630" i="9"/>
  <c r="G120" i="12"/>
  <c r="J135" i="9"/>
  <c r="K19" i="12"/>
  <c r="K19" i="9" s="1"/>
  <c r="Q242" i="12"/>
  <c r="Q257" i="9" s="1"/>
  <c r="P17" i="12"/>
  <c r="P46" i="9"/>
  <c r="O94" i="12"/>
  <c r="O106" i="9" s="1"/>
  <c r="H61" i="12"/>
  <c r="H61" i="9" s="1"/>
  <c r="H141" i="12"/>
  <c r="H156" i="9" s="1"/>
  <c r="K156" i="9"/>
  <c r="I60" i="12"/>
  <c r="I60" i="9" s="1"/>
  <c r="L60" i="9"/>
  <c r="H70" i="12"/>
  <c r="H70" i="9" s="1"/>
  <c r="Q592" i="9"/>
  <c r="G532" i="12"/>
  <c r="G592" i="9" s="1"/>
  <c r="J24" i="9"/>
  <c r="G24" i="12"/>
  <c r="N502" i="12"/>
  <c r="N552" i="9" s="1"/>
  <c r="N553" i="9"/>
  <c r="G416" i="12"/>
  <c r="G455" i="9" s="1"/>
  <c r="J455" i="9"/>
  <c r="E312" i="12"/>
  <c r="E346" i="9"/>
  <c r="I121" i="12"/>
  <c r="I136" i="9" s="1"/>
  <c r="L136" i="9"/>
  <c r="N194" i="12"/>
  <c r="N209" i="9" s="1"/>
  <c r="N210" i="9"/>
  <c r="H32" i="12"/>
  <c r="H32" i="9" s="1"/>
  <c r="K32" i="9"/>
  <c r="E105" i="12"/>
  <c r="E117" i="9" s="1"/>
  <c r="G119" i="9"/>
  <c r="H309" i="12"/>
  <c r="H342" i="9" s="1"/>
  <c r="I466" i="12"/>
  <c r="I516" i="9" s="1"/>
  <c r="N338" i="9"/>
  <c r="N304" i="12"/>
  <c r="N337" i="9" s="1"/>
  <c r="J144" i="9"/>
  <c r="J128" i="12"/>
  <c r="N287" i="9"/>
  <c r="N271" i="12"/>
  <c r="N286" i="9" s="1"/>
  <c r="N246" i="12"/>
  <c r="N261" i="9" s="1"/>
  <c r="N262" i="9"/>
  <c r="J262" i="9"/>
  <c r="J246" i="12"/>
  <c r="J261" i="9" s="1"/>
  <c r="N141" i="12"/>
  <c r="N156" i="9" s="1"/>
  <c r="N157" i="9"/>
  <c r="N355" i="12"/>
  <c r="N395" i="9"/>
  <c r="N507" i="12"/>
  <c r="N557" i="9" s="1"/>
  <c r="N558" i="9"/>
  <c r="L212" i="9"/>
  <c r="I197" i="12"/>
  <c r="I212" i="9" s="1"/>
  <c r="M111" i="12"/>
  <c r="M126" i="9" s="1"/>
  <c r="P415" i="9"/>
  <c r="P368" i="12"/>
  <c r="P407" i="9" s="1"/>
  <c r="I265" i="12"/>
  <c r="I280" i="9" s="1"/>
  <c r="L280" i="9"/>
  <c r="D93" i="12"/>
  <c r="D105" i="9" s="1"/>
  <c r="D126" i="9"/>
  <c r="H236" i="12"/>
  <c r="H251" i="9" s="1"/>
  <c r="K251" i="9"/>
  <c r="I127" i="12"/>
  <c r="I142" i="9" s="1"/>
  <c r="L142" i="9"/>
  <c r="I194" i="12"/>
  <c r="I209" i="9" s="1"/>
  <c r="L209" i="9"/>
  <c r="G415" i="12"/>
  <c r="G454" i="9" s="1"/>
  <c r="J454" i="9"/>
  <c r="O79" i="9"/>
  <c r="O78" i="12"/>
  <c r="N437" i="9"/>
  <c r="N397" i="12"/>
  <c r="N436" i="9" s="1"/>
  <c r="D385" i="12"/>
  <c r="G426" i="9"/>
  <c r="G547" i="12"/>
  <c r="G607" i="9" s="1"/>
  <c r="J607" i="9"/>
  <c r="G37" i="12"/>
  <c r="G37" i="9" s="1"/>
  <c r="J37" i="9"/>
  <c r="G200" i="12"/>
  <c r="J215" i="9"/>
  <c r="C488" i="12"/>
  <c r="G540" i="9"/>
  <c r="J626" i="9"/>
  <c r="H274" i="12"/>
  <c r="H289" i="9" s="1"/>
  <c r="K289" i="9"/>
  <c r="E411" i="12"/>
  <c r="G452" i="9"/>
  <c r="G528" i="12"/>
  <c r="G588" i="9" s="1"/>
  <c r="J588" i="9"/>
  <c r="Q455" i="12"/>
  <c r="N66" i="12"/>
  <c r="N66" i="9" s="1"/>
  <c r="N67" i="9"/>
  <c r="I502" i="12"/>
  <c r="I552" i="9" s="1"/>
  <c r="G536" i="12"/>
  <c r="G596" i="9" s="1"/>
  <c r="G597" i="9"/>
  <c r="Q351" i="12"/>
  <c r="Q390" i="9" s="1"/>
  <c r="Q392" i="12"/>
  <c r="Q431" i="9" s="1"/>
  <c r="I210" i="12"/>
  <c r="I225" i="9" s="1"/>
  <c r="L225" i="9"/>
  <c r="N268" i="12"/>
  <c r="N284" i="9"/>
  <c r="G398" i="12"/>
  <c r="G437" i="9" s="1"/>
  <c r="O486" i="12"/>
  <c r="O536" i="9" s="1"/>
  <c r="H60" i="12"/>
  <c r="H60" i="9" s="1"/>
  <c r="K60" i="9"/>
  <c r="M261" i="9"/>
  <c r="N197" i="12"/>
  <c r="N212" i="9" s="1"/>
  <c r="N213" i="9"/>
  <c r="N159" i="12"/>
  <c r="N174" i="9" s="1"/>
  <c r="N175" i="9"/>
  <c r="G515" i="12"/>
  <c r="G575" i="9" s="1"/>
  <c r="P296" i="12"/>
  <c r="Q308" i="12"/>
  <c r="Q341" i="9" s="1"/>
  <c r="I379" i="12"/>
  <c r="I418" i="9" s="1"/>
  <c r="L418" i="9"/>
  <c r="G503" i="12"/>
  <c r="G553" i="9" s="1"/>
  <c r="G195" i="12"/>
  <c r="G210" i="9" s="1"/>
  <c r="I259" i="12"/>
  <c r="I274" i="9" s="1"/>
  <c r="L274" i="9"/>
  <c r="H289" i="12"/>
  <c r="H304" i="9" s="1"/>
  <c r="K304" i="9"/>
  <c r="H336" i="12"/>
  <c r="H375" i="9" s="1"/>
  <c r="K375" i="9"/>
  <c r="G390" i="12"/>
  <c r="G429" i="9" s="1"/>
  <c r="G428" i="9"/>
  <c r="I236" i="12"/>
  <c r="I251" i="9" s="1"/>
  <c r="L251" i="9"/>
  <c r="Q213" i="12"/>
  <c r="Q228" i="9" s="1"/>
  <c r="G75" i="12"/>
  <c r="G75" i="9" s="1"/>
  <c r="I12" i="12"/>
  <c r="I233" i="9"/>
  <c r="M106" i="9"/>
  <c r="H433" i="12"/>
  <c r="H472" i="9" s="1"/>
  <c r="K472" i="9"/>
  <c r="N34" i="12"/>
  <c r="N34" i="9" s="1"/>
  <c r="N35" i="9"/>
  <c r="O400" i="12"/>
  <c r="O442" i="9"/>
  <c r="J342" i="12"/>
  <c r="J382" i="9"/>
  <c r="G343" i="12"/>
  <c r="G382" i="9" s="1"/>
  <c r="O111" i="12"/>
  <c r="O126" i="9" s="1"/>
  <c r="O620" i="9"/>
  <c r="O555" i="12"/>
  <c r="D410" i="12"/>
  <c r="D449" i="9" s="1"/>
  <c r="D455" i="9"/>
  <c r="M486" i="12"/>
  <c r="M542" i="9"/>
  <c r="G166" i="12"/>
  <c r="G181" i="9" s="1"/>
  <c r="J181" i="9"/>
  <c r="I168" i="12"/>
  <c r="I183" i="9" s="1"/>
  <c r="L183" i="9"/>
  <c r="N418" i="12"/>
  <c r="N457" i="9" s="1"/>
  <c r="N458" i="9"/>
  <c r="K384" i="9"/>
  <c r="H345" i="12"/>
  <c r="H384" i="9" s="1"/>
  <c r="N309" i="12"/>
  <c r="N343" i="9"/>
  <c r="Q486" i="12"/>
  <c r="Q536" i="9" s="1"/>
  <c r="Q547" i="9"/>
  <c r="J63" i="9"/>
  <c r="G63" i="12"/>
  <c r="G63" i="9" s="1"/>
  <c r="C411" i="12"/>
  <c r="G453" i="9"/>
  <c r="I63" i="12"/>
  <c r="I63" i="9" s="1"/>
  <c r="L63" i="9"/>
  <c r="P66" i="12"/>
  <c r="P66" i="9" s="1"/>
  <c r="P67" i="9"/>
  <c r="C513" i="12"/>
  <c r="C574" i="9"/>
  <c r="J67" i="12"/>
  <c r="J67" i="9" s="1"/>
  <c r="E147" i="9"/>
  <c r="P162" i="12"/>
  <c r="H79" i="12"/>
  <c r="H79" i="9" s="1"/>
  <c r="G563" i="12"/>
  <c r="G627" i="9" s="1"/>
  <c r="N627" i="9"/>
  <c r="C290" i="12"/>
  <c r="G307" i="9"/>
  <c r="N99" i="12"/>
  <c r="N117" i="9"/>
  <c r="O392" i="12"/>
  <c r="O431" i="9" s="1"/>
  <c r="G176" i="12"/>
  <c r="J191" i="9"/>
  <c r="G239" i="12"/>
  <c r="G254" i="9" s="1"/>
  <c r="J254" i="9"/>
  <c r="H423" i="12"/>
  <c r="H462" i="9" s="1"/>
  <c r="K462" i="9"/>
  <c r="M66" i="12"/>
  <c r="M66" i="9" s="1"/>
  <c r="M67" i="9"/>
  <c r="G557" i="12"/>
  <c r="G621" i="9" s="1"/>
  <c r="J621" i="9"/>
  <c r="G510" i="12"/>
  <c r="M7" i="12"/>
  <c r="M7" i="9" s="1"/>
  <c r="M619" i="9"/>
  <c r="G328" i="12"/>
  <c r="G361" i="9" s="1"/>
  <c r="J361" i="9"/>
  <c r="J502" i="12"/>
  <c r="O455" i="12"/>
  <c r="O505" i="9" s="1"/>
  <c r="N228" i="12"/>
  <c r="N243" i="9" s="1"/>
  <c r="N244" i="9"/>
  <c r="G435" i="12"/>
  <c r="G474" i="9" s="1"/>
  <c r="G321" i="12"/>
  <c r="G354" i="9" s="1"/>
  <c r="J95" i="12"/>
  <c r="J107" i="9" s="1"/>
  <c r="G74" i="12"/>
  <c r="G74" i="9" s="1"/>
  <c r="J74" i="9"/>
  <c r="K55" i="12"/>
  <c r="K55" i="9" s="1"/>
  <c r="H44" i="12"/>
  <c r="H44" i="9" s="1"/>
  <c r="K44" i="9"/>
  <c r="G22" i="12"/>
  <c r="G22" i="9" s="1"/>
  <c r="J22" i="9"/>
  <c r="G236" i="12"/>
  <c r="G251" i="9" s="1"/>
  <c r="M251" i="9"/>
  <c r="J117" i="12"/>
  <c r="J132" i="9" s="1"/>
  <c r="I51" i="12"/>
  <c r="I51" i="9" s="1"/>
  <c r="G525" i="12"/>
  <c r="G585" i="9" s="1"/>
  <c r="G584" i="9"/>
  <c r="G177" i="12"/>
  <c r="G192" i="9" s="1"/>
  <c r="J192" i="9"/>
  <c r="L466" i="9"/>
  <c r="I427" i="12"/>
  <c r="I466" i="9" s="1"/>
  <c r="D454" i="12"/>
  <c r="D536" i="9"/>
  <c r="P400" i="12"/>
  <c r="P442" i="9"/>
  <c r="I153" i="12"/>
  <c r="I168" i="9" s="1"/>
  <c r="L168" i="9"/>
  <c r="I461" i="12"/>
  <c r="I511" i="9" s="1"/>
  <c r="L511" i="9"/>
  <c r="N295" i="9"/>
  <c r="N279" i="12"/>
  <c r="N294" i="9" s="1"/>
  <c r="L75" i="9"/>
  <c r="L74" i="12"/>
  <c r="L410" i="12"/>
  <c r="L450" i="9"/>
  <c r="I411" i="12"/>
  <c r="I450" i="9" s="1"/>
  <c r="I86" i="12"/>
  <c r="I86" i="9" s="1"/>
  <c r="L86" i="9"/>
  <c r="I507" i="12"/>
  <c r="I557" i="9" s="1"/>
  <c r="H150" i="12"/>
  <c r="H165" i="9" s="1"/>
  <c r="K165" i="9"/>
  <c r="I159" i="12"/>
  <c r="I174" i="9" s="1"/>
  <c r="L174" i="9"/>
  <c r="E301" i="12"/>
  <c r="G336" i="9"/>
  <c r="D432" i="12"/>
  <c r="G473" i="9"/>
  <c r="H254" i="12"/>
  <c r="H269" i="9" s="1"/>
  <c r="K269" i="9"/>
  <c r="I124" i="12"/>
  <c r="I139" i="9" s="1"/>
  <c r="L139" i="9"/>
  <c r="N47" i="12"/>
  <c r="N47" i="9" s="1"/>
  <c r="N51" i="9"/>
  <c r="P79" i="9"/>
  <c r="P78" i="12"/>
  <c r="P486" i="12"/>
  <c r="P536" i="9" s="1"/>
  <c r="N133" i="12"/>
  <c r="N149" i="9"/>
  <c r="I29" i="12"/>
  <c r="I29" i="9" s="1"/>
  <c r="L29" i="9"/>
  <c r="M331" i="12"/>
  <c r="M370" i="9" s="1"/>
  <c r="M371" i="9"/>
  <c r="G371" i="12"/>
  <c r="G410" i="9" s="1"/>
  <c r="G409" i="9"/>
  <c r="N168" i="12"/>
  <c r="N183" i="9" s="1"/>
  <c r="N184" i="9"/>
  <c r="H56" i="12"/>
  <c r="H56" i="9" s="1"/>
  <c r="G10" i="12"/>
  <c r="G10" i="9" s="1"/>
  <c r="H10" i="9"/>
  <c r="I423" i="12"/>
  <c r="I462" i="9" s="1"/>
  <c r="L418" i="12"/>
  <c r="L457" i="9" s="1"/>
  <c r="Q330" i="12"/>
  <c r="Q369" i="9" s="1"/>
  <c r="L359" i="12"/>
  <c r="I360" i="12"/>
  <c r="I399" i="9" s="1"/>
  <c r="G380" i="12"/>
  <c r="G419" i="9" s="1"/>
  <c r="N379" i="12"/>
  <c r="N418" i="9" s="1"/>
  <c r="K284" i="12"/>
  <c r="H285" i="12"/>
  <c r="H300" i="9" s="1"/>
  <c r="J198" i="12"/>
  <c r="J213" i="9" s="1"/>
  <c r="G199" i="12"/>
  <c r="G214" i="9" s="1"/>
  <c r="I67" i="12"/>
  <c r="I67" i="9" s="1"/>
  <c r="L66" i="12"/>
  <c r="G352" i="12"/>
  <c r="G391" i="9" s="1"/>
  <c r="H369" i="12"/>
  <c r="H408" i="9" s="1"/>
  <c r="K368" i="12"/>
  <c r="K407" i="9" s="1"/>
  <c r="J210" i="12"/>
  <c r="G211" i="12"/>
  <c r="G226" i="9" s="1"/>
  <c r="J181" i="12"/>
  <c r="J196" i="9" s="1"/>
  <c r="G182" i="12"/>
  <c r="G197" i="9" s="1"/>
  <c r="J50" i="12"/>
  <c r="G51" i="12"/>
  <c r="G51" i="9" s="1"/>
  <c r="G319" i="12"/>
  <c r="J317" i="12"/>
  <c r="J350" i="9" s="1"/>
  <c r="L94" i="12"/>
  <c r="L106" i="9" s="1"/>
  <c r="I284" i="12"/>
  <c r="I299" i="9" s="1"/>
  <c r="L278" i="12"/>
  <c r="L293" i="9" s="1"/>
  <c r="G460" i="12"/>
  <c r="J457" i="12"/>
  <c r="J507" i="9" s="1"/>
  <c r="J476" i="12"/>
  <c r="G477" i="12"/>
  <c r="G527" i="9" s="1"/>
  <c r="G394" i="12"/>
  <c r="G433" i="9" s="1"/>
  <c r="J393" i="12"/>
  <c r="J432" i="9" s="1"/>
  <c r="H51" i="12"/>
  <c r="H51" i="9" s="1"/>
  <c r="K50" i="12"/>
  <c r="O162" i="12"/>
  <c r="O177" i="9" s="1"/>
  <c r="H163" i="12"/>
  <c r="H178" i="9" s="1"/>
  <c r="G30" i="12"/>
  <c r="G30" i="9" s="1"/>
  <c r="J507" i="12"/>
  <c r="G508" i="12"/>
  <c r="G558" i="9" s="1"/>
  <c r="N376" i="12"/>
  <c r="G377" i="12"/>
  <c r="G416" i="9" s="1"/>
  <c r="G27" i="12"/>
  <c r="G27" i="9" s="1"/>
  <c r="J26" i="12"/>
  <c r="J26" i="9" s="1"/>
  <c r="G84" i="12"/>
  <c r="G84" i="9" s="1"/>
  <c r="G332" i="12"/>
  <c r="G371" i="9" s="1"/>
  <c r="G14" i="12"/>
  <c r="G14" i="9" s="1"/>
  <c r="E26" i="12"/>
  <c r="H117" i="12"/>
  <c r="H132" i="9" s="1"/>
  <c r="K116" i="12"/>
  <c r="K481" i="12"/>
  <c r="H482" i="12"/>
  <c r="H532" i="9" s="1"/>
  <c r="I300" i="12"/>
  <c r="I333" i="9" s="1"/>
  <c r="L296" i="12"/>
  <c r="L329" i="9" s="1"/>
  <c r="K487" i="12"/>
  <c r="K537" i="9" s="1"/>
  <c r="H488" i="12"/>
  <c r="H538" i="9" s="1"/>
  <c r="H13" i="12"/>
  <c r="K180" i="12"/>
  <c r="H181" i="12"/>
  <c r="H196" i="9" s="1"/>
  <c r="G269" i="12"/>
  <c r="G284" i="9" s="1"/>
  <c r="J300" i="12"/>
  <c r="J333" i="9" s="1"/>
  <c r="G301" i="12"/>
  <c r="G334" i="9" s="1"/>
  <c r="G218" i="12"/>
  <c r="J215" i="12"/>
  <c r="J230" i="9" s="1"/>
  <c r="K456" i="12"/>
  <c r="K506" i="9" s="1"/>
  <c r="H457" i="12"/>
  <c r="H507" i="9" s="1"/>
  <c r="K11" i="12"/>
  <c r="K11" i="9" s="1"/>
  <c r="J487" i="12"/>
  <c r="J537" i="9" s="1"/>
  <c r="G488" i="12"/>
  <c r="G538" i="9" s="1"/>
  <c r="I243" i="12"/>
  <c r="I258" i="9" s="1"/>
  <c r="J222" i="12"/>
  <c r="J237" i="9" s="1"/>
  <c r="G224" i="12"/>
  <c r="J34" i="12"/>
  <c r="G35" i="12"/>
  <c r="G35" i="9" s="1"/>
  <c r="O372" i="12"/>
  <c r="N373" i="12"/>
  <c r="N412" i="9" s="1"/>
  <c r="I132" i="12"/>
  <c r="I147" i="9" s="1"/>
  <c r="K18" i="12"/>
  <c r="K18" i="9" s="1"/>
  <c r="H19" i="12"/>
  <c r="H19" i="9" s="1"/>
  <c r="J100" i="12"/>
  <c r="J112" i="9" s="1"/>
  <c r="H12" i="12"/>
  <c r="H12" i="9" s="1"/>
  <c r="L486" i="12"/>
  <c r="L536" i="9" s="1"/>
  <c r="I487" i="12"/>
  <c r="I537" i="9" s="1"/>
  <c r="K437" i="12"/>
  <c r="L368" i="12"/>
  <c r="I376" i="12"/>
  <c r="I415" i="9" s="1"/>
  <c r="J514" i="12"/>
  <c r="J574" i="9" s="1"/>
  <c r="G531" i="12"/>
  <c r="G591" i="9" s="1"/>
  <c r="K466" i="12"/>
  <c r="H467" i="12"/>
  <c r="H517" i="9" s="1"/>
  <c r="K461" i="12"/>
  <c r="H462" i="12"/>
  <c r="H512" i="9" s="1"/>
  <c r="G556" i="12"/>
  <c r="G252" i="12"/>
  <c r="J250" i="12"/>
  <c r="J265" i="9" s="1"/>
  <c r="G57" i="12"/>
  <c r="G57" i="9" s="1"/>
  <c r="J56" i="12"/>
  <c r="J56" i="9" s="1"/>
  <c r="J259" i="12"/>
  <c r="G260" i="12"/>
  <c r="G275" i="9" s="1"/>
  <c r="J423" i="12"/>
  <c r="G425" i="12"/>
  <c r="L254" i="12"/>
  <c r="I255" i="12"/>
  <c r="I270" i="9" s="1"/>
  <c r="H317" i="12"/>
  <c r="H350" i="9" s="1"/>
  <c r="K316" i="12"/>
  <c r="K349" i="9" s="1"/>
  <c r="H296" i="12"/>
  <c r="H329" i="9" s="1"/>
  <c r="H78" i="12"/>
  <c r="K77" i="12"/>
  <c r="K77" i="9" s="1"/>
  <c r="J90" i="12"/>
  <c r="J83" i="12" s="1"/>
  <c r="J83" i="9" s="1"/>
  <c r="G91" i="12"/>
  <c r="G91" i="9" s="1"/>
  <c r="H372" i="12"/>
  <c r="H411" i="9" s="1"/>
  <c r="G191" i="12"/>
  <c r="J188" i="12"/>
  <c r="J203" i="9" s="1"/>
  <c r="G43" i="12"/>
  <c r="G43" i="9" s="1"/>
  <c r="J42" i="12"/>
  <c r="J42" i="9" s="1"/>
  <c r="H174" i="12"/>
  <c r="H189" i="9" s="1"/>
  <c r="K173" i="12"/>
  <c r="L55" i="12"/>
  <c r="I56" i="12"/>
  <c r="I56" i="9" s="1"/>
  <c r="J461" i="12"/>
  <c r="G462" i="12"/>
  <c r="G512" i="9" s="1"/>
  <c r="H419" i="12"/>
  <c r="H458" i="9" s="1"/>
  <c r="K418" i="12"/>
  <c r="I309" i="12"/>
  <c r="I342" i="9" s="1"/>
  <c r="L308" i="12"/>
  <c r="G360" i="12"/>
  <c r="G399" i="9" s="1"/>
  <c r="J359" i="12"/>
  <c r="J398" i="9" s="1"/>
  <c r="J312" i="12"/>
  <c r="J345" i="9" s="1"/>
  <c r="G313" i="12"/>
  <c r="G346" i="9" s="1"/>
  <c r="K83" i="12"/>
  <c r="K83" i="9" s="1"/>
  <c r="H84" i="12"/>
  <c r="H84" i="9" s="1"/>
  <c r="G421" i="12"/>
  <c r="J419" i="12"/>
  <c r="J458" i="9" s="1"/>
  <c r="G485" i="12"/>
  <c r="G535" i="9" s="1"/>
  <c r="J482" i="12"/>
  <c r="J532" i="9" s="1"/>
  <c r="G164" i="12"/>
  <c r="G179" i="9" s="1"/>
  <c r="J163" i="12"/>
  <c r="J178" i="9" s="1"/>
  <c r="I50" i="12"/>
  <c r="I50" i="9" s="1"/>
  <c r="L46" i="12"/>
  <c r="K279" i="12"/>
  <c r="K294" i="9" s="1"/>
  <c r="H280" i="12"/>
  <c r="H295" i="9" s="1"/>
  <c r="J285" i="12"/>
  <c r="J300" i="9" s="1"/>
  <c r="I117" i="12"/>
  <c r="I132" i="9" s="1"/>
  <c r="L116" i="12"/>
  <c r="L131" i="9" s="1"/>
  <c r="J274" i="12"/>
  <c r="G275" i="12"/>
  <c r="G290" i="9" s="1"/>
  <c r="J169" i="12"/>
  <c r="J184" i="9" s="1"/>
  <c r="G171" i="12"/>
  <c r="H128" i="12"/>
  <c r="H143" i="9" s="1"/>
  <c r="G208" i="12"/>
  <c r="G223" i="9" s="1"/>
  <c r="J207" i="12"/>
  <c r="G134" i="12"/>
  <c r="G149" i="9" s="1"/>
  <c r="J133" i="12"/>
  <c r="J148" i="9" s="1"/>
  <c r="G33" i="12"/>
  <c r="G33" i="9" s="1"/>
  <c r="J32" i="12"/>
  <c r="K507" i="12"/>
  <c r="H508" i="12"/>
  <c r="H558" i="9" s="1"/>
  <c r="I346" i="12"/>
  <c r="I385" i="9" s="1"/>
  <c r="L345" i="12"/>
  <c r="L384" i="9" s="1"/>
  <c r="L513" i="12"/>
  <c r="L573" i="9" s="1"/>
  <c r="I514" i="12"/>
  <c r="I574" i="9" s="1"/>
  <c r="G245" i="12"/>
  <c r="G260" i="9" s="1"/>
  <c r="J244" i="12"/>
  <c r="J259" i="9" s="1"/>
  <c r="L34" i="12"/>
  <c r="L34" i="9" s="1"/>
  <c r="I35" i="12"/>
  <c r="I35" i="9" s="1"/>
  <c r="N173" i="12"/>
  <c r="N188" i="9" s="1"/>
  <c r="J13" i="12"/>
  <c r="I352" i="12"/>
  <c r="I391" i="9" s="1"/>
  <c r="H127" i="12"/>
  <c r="H142" i="9" s="1"/>
  <c r="K214" i="12"/>
  <c r="K229" i="9" s="1"/>
  <c r="H215" i="12"/>
  <c r="H230" i="9" s="1"/>
  <c r="G290" i="12"/>
  <c r="G305" i="9" s="1"/>
  <c r="J289" i="12"/>
  <c r="K513" i="12"/>
  <c r="K573" i="9" s="1"/>
  <c r="H514" i="12"/>
  <c r="H574" i="9" s="1"/>
  <c r="K197" i="12"/>
  <c r="H198" i="12"/>
  <c r="H213" i="9" s="1"/>
  <c r="J565" i="12"/>
  <c r="H565" i="12"/>
  <c r="H629" i="9" s="1"/>
  <c r="J121" i="12"/>
  <c r="G122" i="12"/>
  <c r="G137" i="9" s="1"/>
  <c r="G113" i="12"/>
  <c r="G128" i="9" s="1"/>
  <c r="K113" i="12"/>
  <c r="K128" i="9" s="1"/>
  <c r="J112" i="12"/>
  <c r="J127" i="9" s="1"/>
  <c r="J47" i="12"/>
  <c r="J47" i="9" s="1"/>
  <c r="G87" i="12"/>
  <c r="G87" i="9" s="1"/>
  <c r="J86" i="12"/>
  <c r="K331" i="12"/>
  <c r="K370" i="9" s="1"/>
  <c r="H332" i="12"/>
  <c r="H371" i="9" s="1"/>
  <c r="K228" i="12"/>
  <c r="H229" i="12"/>
  <c r="H244" i="9" s="1"/>
  <c r="J116" i="12"/>
  <c r="G117" i="12"/>
  <c r="G132" i="9" s="1"/>
  <c r="N430" i="12"/>
  <c r="N469" i="9" s="1"/>
  <c r="G431" i="12"/>
  <c r="G470" i="9" s="1"/>
  <c r="H250" i="12"/>
  <c r="H265" i="9" s="1"/>
  <c r="K249" i="12"/>
  <c r="K264" i="9" s="1"/>
  <c r="H100" i="12"/>
  <c r="H112" i="9" s="1"/>
  <c r="K99" i="12"/>
  <c r="K111" i="9" s="1"/>
  <c r="H169" i="12"/>
  <c r="H184" i="9" s="1"/>
  <c r="K168" i="12"/>
  <c r="K183" i="9" s="1"/>
  <c r="H324" i="12"/>
  <c r="H357" i="9" s="1"/>
  <c r="K323" i="12"/>
  <c r="G437" i="12"/>
  <c r="G476" i="9" s="1"/>
  <c r="G443" i="12"/>
  <c r="G482" i="9" s="1"/>
  <c r="J439" i="12"/>
  <c r="J478" i="9" s="1"/>
  <c r="K492" i="12"/>
  <c r="H493" i="12"/>
  <c r="H543" i="9" s="1"/>
  <c r="J345" i="12"/>
  <c r="G346" i="12"/>
  <c r="G385" i="9" s="1"/>
  <c r="J466" i="12"/>
  <c r="G467" i="12"/>
  <c r="G517" i="9" s="1"/>
  <c r="H222" i="12"/>
  <c r="H237" i="9" s="1"/>
  <c r="K221" i="12"/>
  <c r="H411" i="12"/>
  <c r="H450" i="9" s="1"/>
  <c r="K410" i="12"/>
  <c r="K449" i="9" s="1"/>
  <c r="G450" i="12"/>
  <c r="G489" i="9" s="1"/>
  <c r="G229" i="12"/>
  <c r="G244" i="9" s="1"/>
  <c r="J228" i="12"/>
  <c r="L82" i="12"/>
  <c r="L82" i="9" s="1"/>
  <c r="I83" i="12"/>
  <c r="G475" i="12"/>
  <c r="J472" i="12"/>
  <c r="J522" i="9" s="1"/>
  <c r="L162" i="12"/>
  <c r="I215" i="12"/>
  <c r="I230" i="9" s="1"/>
  <c r="L214" i="12"/>
  <c r="L229" i="9" s="1"/>
  <c r="O93" i="12"/>
  <c r="O105" i="9" s="1"/>
  <c r="K430" i="12"/>
  <c r="H431" i="12"/>
  <c r="H470" i="9" s="1"/>
  <c r="L11" i="12"/>
  <c r="L11" i="9" s="1"/>
  <c r="J400" i="12"/>
  <c r="G401" i="12"/>
  <c r="G440" i="9" s="1"/>
  <c r="I222" i="12"/>
  <c r="I237" i="9" s="1"/>
  <c r="L221" i="12"/>
  <c r="G411" i="12"/>
  <c r="G450" i="9" s="1"/>
  <c r="J174" i="12"/>
  <c r="J189" i="9" s="1"/>
  <c r="J255" i="12"/>
  <c r="J270" i="9" s="1"/>
  <c r="G257" i="12"/>
  <c r="N439" i="12"/>
  <c r="N478" i="9" s="1"/>
  <c r="G403" i="12"/>
  <c r="G442" i="9" s="1"/>
  <c r="H188" i="12"/>
  <c r="H203" i="9" s="1"/>
  <c r="K187" i="12"/>
  <c r="G272" i="12"/>
  <c r="G287" i="9" s="1"/>
  <c r="J271" i="12"/>
  <c r="J262" i="12"/>
  <c r="G263" i="12"/>
  <c r="G278" i="9" s="1"/>
  <c r="K471" i="12"/>
  <c r="H472" i="12"/>
  <c r="H522" i="9" s="1"/>
  <c r="G105" i="12"/>
  <c r="G117" i="9" s="1"/>
  <c r="J280" i="12"/>
  <c r="J295" i="9" s="1"/>
  <c r="I79" i="12"/>
  <c r="I79" i="9" s="1"/>
  <c r="L78" i="12"/>
  <c r="L78" i="9" s="1"/>
  <c r="H134" i="12"/>
  <c r="H149" i="9" s="1"/>
  <c r="K133" i="12"/>
  <c r="K148" i="9" s="1"/>
  <c r="H434" i="12"/>
  <c r="K15" i="12"/>
  <c r="K15" i="9" s="1"/>
  <c r="G326" i="12"/>
  <c r="J324" i="12"/>
  <c r="J357" i="9" s="1"/>
  <c r="K476" i="12"/>
  <c r="H477" i="12"/>
  <c r="H527" i="9" s="1"/>
  <c r="O7" i="12" l="1"/>
  <c r="O619" i="9"/>
  <c r="N342" i="9"/>
  <c r="N308" i="12"/>
  <c r="N341" i="9" s="1"/>
  <c r="G309" i="12"/>
  <c r="G342" i="9" s="1"/>
  <c r="J153" i="9"/>
  <c r="G138" i="12"/>
  <c r="G153" i="9" s="1"/>
  <c r="C51" i="12"/>
  <c r="G54" i="9"/>
  <c r="O17" i="12"/>
  <c r="O18" i="9"/>
  <c r="C228" i="12"/>
  <c r="C243" i="9" s="1"/>
  <c r="C244" i="9"/>
  <c r="E531" i="12"/>
  <c r="E591" i="9" s="1"/>
  <c r="E596" i="9"/>
  <c r="J378" i="9"/>
  <c r="G339" i="12"/>
  <c r="G378" i="9" s="1"/>
  <c r="G72" i="9"/>
  <c r="C70" i="12"/>
  <c r="H221" i="12"/>
  <c r="H236" i="9" s="1"/>
  <c r="K236" i="9"/>
  <c r="G86" i="12"/>
  <c r="G86" i="9" s="1"/>
  <c r="J86" i="9"/>
  <c r="G207" i="12"/>
  <c r="G222" i="9" s="1"/>
  <c r="J222" i="9"/>
  <c r="H418" i="12"/>
  <c r="H457" i="9" s="1"/>
  <c r="K457" i="9"/>
  <c r="G259" i="12"/>
  <c r="G274" i="9" s="1"/>
  <c r="J274" i="9"/>
  <c r="H116" i="12"/>
  <c r="H131" i="9" s="1"/>
  <c r="K131" i="9"/>
  <c r="G95" i="12"/>
  <c r="G107" i="9" s="1"/>
  <c r="G24" i="9"/>
  <c r="C22" i="12"/>
  <c r="N229" i="9"/>
  <c r="N213" i="12"/>
  <c r="N228" i="9" s="1"/>
  <c r="I430" i="12"/>
  <c r="I469" i="9" s="1"/>
  <c r="P469" i="9"/>
  <c r="D228" i="12"/>
  <c r="D243" i="9" s="1"/>
  <c r="D249" i="9"/>
  <c r="N513" i="12"/>
  <c r="N574" i="9"/>
  <c r="M295" i="12"/>
  <c r="M329" i="9"/>
  <c r="J156" i="9"/>
  <c r="G141" i="12"/>
  <c r="G156" i="9" s="1"/>
  <c r="D316" i="12"/>
  <c r="D354" i="9"/>
  <c r="D435" i="12"/>
  <c r="D475" i="9"/>
  <c r="E95" i="12"/>
  <c r="E108" i="9"/>
  <c r="H15" i="12"/>
  <c r="H473" i="9"/>
  <c r="J415" i="9"/>
  <c r="J368" i="12"/>
  <c r="J407" i="9" s="1"/>
  <c r="N537" i="9"/>
  <c r="N486" i="12"/>
  <c r="N536" i="9" s="1"/>
  <c r="G297" i="12"/>
  <c r="G330" i="9" s="1"/>
  <c r="J330" i="9"/>
  <c r="H197" i="12"/>
  <c r="H212" i="9" s="1"/>
  <c r="K212" i="9"/>
  <c r="Q295" i="12"/>
  <c r="H555" i="12"/>
  <c r="H619" i="9" s="1"/>
  <c r="G34" i="12"/>
  <c r="G34" i="9" s="1"/>
  <c r="J34" i="9"/>
  <c r="C457" i="12"/>
  <c r="G510" i="9"/>
  <c r="P439" i="9"/>
  <c r="I400" i="12"/>
  <c r="I439" i="9" s="1"/>
  <c r="C174" i="12"/>
  <c r="G191" i="9"/>
  <c r="C512" i="12"/>
  <c r="C572" i="9" s="1"/>
  <c r="C573" i="9"/>
  <c r="D221" i="12"/>
  <c r="D236" i="9" s="1"/>
  <c r="D241" i="9"/>
  <c r="K7" i="12"/>
  <c r="K619" i="9"/>
  <c r="Q77" i="12"/>
  <c r="Q77" i="9" s="1"/>
  <c r="Q78" i="9"/>
  <c r="C285" i="12"/>
  <c r="G302" i="9"/>
  <c r="G44" i="12"/>
  <c r="G44" i="9" s="1"/>
  <c r="J44" i="9"/>
  <c r="C100" i="12"/>
  <c r="G114" i="9"/>
  <c r="D406" i="12"/>
  <c r="D445" i="9" s="1"/>
  <c r="D446" i="9"/>
  <c r="P277" i="12"/>
  <c r="P292" i="9" s="1"/>
  <c r="P293" i="9"/>
  <c r="J450" i="9"/>
  <c r="J410" i="12"/>
  <c r="E385" i="9"/>
  <c r="E345" i="12"/>
  <c r="G387" i="9"/>
  <c r="C346" i="12"/>
  <c r="H430" i="12"/>
  <c r="K469" i="9"/>
  <c r="P77" i="12"/>
  <c r="P77" i="9" s="1"/>
  <c r="P78" i="9"/>
  <c r="M512" i="12"/>
  <c r="M572" i="9" s="1"/>
  <c r="M573" i="9"/>
  <c r="I162" i="12"/>
  <c r="I177" i="9" s="1"/>
  <c r="L177" i="9"/>
  <c r="C222" i="12"/>
  <c r="G239" i="9"/>
  <c r="E19" i="12"/>
  <c r="E26" i="9"/>
  <c r="I66" i="12"/>
  <c r="I66" i="9" s="1"/>
  <c r="L66" i="9"/>
  <c r="N242" i="12"/>
  <c r="N257" i="9" s="1"/>
  <c r="N283" i="9"/>
  <c r="E410" i="12"/>
  <c r="E450" i="9"/>
  <c r="D384" i="12"/>
  <c r="D424" i="9"/>
  <c r="C117" i="12"/>
  <c r="G135" i="9"/>
  <c r="E575" i="9"/>
  <c r="C461" i="12"/>
  <c r="C511" i="9" s="1"/>
  <c r="C512" i="9"/>
  <c r="K258" i="9"/>
  <c r="H243" i="12"/>
  <c r="H258" i="9" s="1"/>
  <c r="C280" i="12"/>
  <c r="G466" i="12"/>
  <c r="G516" i="9" s="1"/>
  <c r="J516" i="9"/>
  <c r="G48" i="12"/>
  <c r="G48" i="9" s="1"/>
  <c r="C169" i="12"/>
  <c r="G186" i="9"/>
  <c r="I368" i="12"/>
  <c r="I407" i="9" s="1"/>
  <c r="L407" i="9"/>
  <c r="O131" i="12"/>
  <c r="O146" i="9" s="1"/>
  <c r="D453" i="12"/>
  <c r="D503" i="9" s="1"/>
  <c r="D504" i="9"/>
  <c r="J381" i="9"/>
  <c r="G342" i="12"/>
  <c r="G381" i="9" s="1"/>
  <c r="P295" i="12"/>
  <c r="P329" i="9"/>
  <c r="M330" i="12"/>
  <c r="M369" i="9" s="1"/>
  <c r="M390" i="9"/>
  <c r="Q131" i="12"/>
  <c r="Q146" i="9" s="1"/>
  <c r="Q147" i="9"/>
  <c r="O295" i="12"/>
  <c r="O329" i="9"/>
  <c r="P619" i="9"/>
  <c r="P7" i="12"/>
  <c r="P7" i="9" s="1"/>
  <c r="J80" i="9"/>
  <c r="G80" i="12"/>
  <c r="G80" i="9" s="1"/>
  <c r="J79" i="12"/>
  <c r="D16" i="12"/>
  <c r="D16" i="9" s="1"/>
  <c r="D17" i="9"/>
  <c r="O368" i="12"/>
  <c r="O411" i="9"/>
  <c r="G476" i="12"/>
  <c r="G526" i="9" s="1"/>
  <c r="J526" i="9"/>
  <c r="J159" i="9"/>
  <c r="G144" i="12"/>
  <c r="G159" i="9" s="1"/>
  <c r="G60" i="12"/>
  <c r="G60" i="9" s="1"/>
  <c r="J60" i="9"/>
  <c r="Q93" i="12"/>
  <c r="Q126" i="9"/>
  <c r="C132" i="12"/>
  <c r="C147" i="9" s="1"/>
  <c r="C148" i="9"/>
  <c r="Q7" i="12"/>
  <c r="Q7" i="9" s="1"/>
  <c r="Q619" i="9"/>
  <c r="N127" i="12"/>
  <c r="N142" i="9" s="1"/>
  <c r="N143" i="9"/>
  <c r="K48" i="12"/>
  <c r="K48" i="9" s="1"/>
  <c r="G289" i="12"/>
  <c r="G304" i="9" s="1"/>
  <c r="J304" i="9"/>
  <c r="G461" i="12"/>
  <c r="G511" i="9" s="1"/>
  <c r="J511" i="9"/>
  <c r="H77" i="12"/>
  <c r="H77" i="9" s="1"/>
  <c r="H78" i="9"/>
  <c r="H437" i="12"/>
  <c r="H476" i="9" s="1"/>
  <c r="K476" i="9"/>
  <c r="N18" i="12"/>
  <c r="Q514" i="12"/>
  <c r="C508" i="12"/>
  <c r="G560" i="9"/>
  <c r="N94" i="12"/>
  <c r="N111" i="9"/>
  <c r="C180" i="12"/>
  <c r="C195" i="9" s="1"/>
  <c r="C196" i="9"/>
  <c r="N400" i="12"/>
  <c r="N439" i="9" s="1"/>
  <c r="N442" i="9"/>
  <c r="N82" i="12"/>
  <c r="N82" i="9" s="1"/>
  <c r="N83" i="9"/>
  <c r="D187" i="12"/>
  <c r="D202" i="9" s="1"/>
  <c r="D207" i="9"/>
  <c r="E128" i="9"/>
  <c r="E112" i="12"/>
  <c r="D214" i="12"/>
  <c r="D234" i="9"/>
  <c r="N296" i="12"/>
  <c r="N333" i="9"/>
  <c r="G210" i="12"/>
  <c r="G225" i="9" s="1"/>
  <c r="J225" i="9"/>
  <c r="I359" i="12"/>
  <c r="I398" i="9" s="1"/>
  <c r="L398" i="9"/>
  <c r="Q454" i="12"/>
  <c r="Q505" i="9"/>
  <c r="P16" i="12"/>
  <c r="P16" i="9" s="1"/>
  <c r="P17" i="9"/>
  <c r="H50" i="12"/>
  <c r="H50" i="9" s="1"/>
  <c r="K50" i="9"/>
  <c r="Q9" i="12"/>
  <c r="Q9" i="9" s="1"/>
  <c r="L449" i="9"/>
  <c r="I410" i="12"/>
  <c r="I449" i="9" s="1"/>
  <c r="G544" i="12"/>
  <c r="G604" i="9" s="1"/>
  <c r="O439" i="9"/>
  <c r="H400" i="12"/>
  <c r="H439" i="9" s="1"/>
  <c r="O77" i="12"/>
  <c r="O77" i="9" s="1"/>
  <c r="O78" i="9"/>
  <c r="P9" i="12"/>
  <c r="P9" i="9" s="1"/>
  <c r="D388" i="12"/>
  <c r="D427" i="9" s="1"/>
  <c r="D428" i="9"/>
  <c r="G379" i="12"/>
  <c r="G418" i="9" s="1"/>
  <c r="H418" i="9"/>
  <c r="K67" i="9"/>
  <c r="H67" i="12"/>
  <c r="H67" i="9" s="1"/>
  <c r="K66" i="12"/>
  <c r="G124" i="12"/>
  <c r="G139" i="9" s="1"/>
  <c r="E57" i="9"/>
  <c r="E56" i="12"/>
  <c r="N620" i="9"/>
  <c r="N555" i="12"/>
  <c r="N619" i="9" s="1"/>
  <c r="D323" i="12"/>
  <c r="D356" i="9" s="1"/>
  <c r="D361" i="9"/>
  <c r="E453" i="12"/>
  <c r="E503" i="9" s="1"/>
  <c r="E504" i="9"/>
  <c r="J162" i="9"/>
  <c r="G147" i="12"/>
  <c r="G162" i="9" s="1"/>
  <c r="N120" i="9"/>
  <c r="G108" i="12"/>
  <c r="G120" i="9" s="1"/>
  <c r="G274" i="12"/>
  <c r="G289" i="9" s="1"/>
  <c r="J289" i="9"/>
  <c r="I55" i="12"/>
  <c r="I55" i="9" s="1"/>
  <c r="L55" i="9"/>
  <c r="H180" i="12"/>
  <c r="H195" i="9" s="1"/>
  <c r="K195" i="9"/>
  <c r="C317" i="12"/>
  <c r="G352" i="9"/>
  <c r="L74" i="9"/>
  <c r="I74" i="12"/>
  <c r="I74" i="9" s="1"/>
  <c r="C289" i="12"/>
  <c r="C304" i="9" s="1"/>
  <c r="C305" i="9"/>
  <c r="G562" i="12"/>
  <c r="G626" i="9" s="1"/>
  <c r="D355" i="12"/>
  <c r="D395" i="9"/>
  <c r="D420" i="9"/>
  <c r="D380" i="12"/>
  <c r="D419" i="9" s="1"/>
  <c r="D332" i="12"/>
  <c r="D372" i="9"/>
  <c r="J218" i="9"/>
  <c r="J202" i="12"/>
  <c r="G203" i="12"/>
  <c r="G218" i="9" s="1"/>
  <c r="N46" i="12"/>
  <c r="N46" i="9" s="1"/>
  <c r="D400" i="12"/>
  <c r="D439" i="9" s="1"/>
  <c r="D442" i="9"/>
  <c r="J11" i="12"/>
  <c r="J11" i="9" s="1"/>
  <c r="J13" i="9"/>
  <c r="I46" i="12"/>
  <c r="I46" i="9" s="1"/>
  <c r="L46" i="9"/>
  <c r="I308" i="12"/>
  <c r="I341" i="9" s="1"/>
  <c r="L341" i="9"/>
  <c r="C188" i="12"/>
  <c r="G206" i="9"/>
  <c r="G423" i="12"/>
  <c r="G462" i="9" s="1"/>
  <c r="J462" i="9"/>
  <c r="H466" i="12"/>
  <c r="H516" i="9" s="1"/>
  <c r="K516" i="9"/>
  <c r="N394" i="9"/>
  <c r="N351" i="12"/>
  <c r="N390" i="9" s="1"/>
  <c r="C472" i="12"/>
  <c r="G525" i="9"/>
  <c r="G345" i="12"/>
  <c r="G384" i="9" s="1"/>
  <c r="J384" i="9"/>
  <c r="H492" i="12"/>
  <c r="H542" i="9" s="1"/>
  <c r="K542" i="9"/>
  <c r="C410" i="12"/>
  <c r="C449" i="9" s="1"/>
  <c r="C450" i="9"/>
  <c r="D180" i="12"/>
  <c r="D195" i="9" s="1"/>
  <c r="D200" i="9"/>
  <c r="G497" i="12"/>
  <c r="G547" i="9" s="1"/>
  <c r="J547" i="9"/>
  <c r="C497" i="12"/>
  <c r="C547" i="9" s="1"/>
  <c r="C548" i="9"/>
  <c r="C419" i="12"/>
  <c r="G460" i="9"/>
  <c r="N162" i="12"/>
  <c r="N177" i="9" s="1"/>
  <c r="G13" i="12"/>
  <c r="G13" i="9" s="1"/>
  <c r="H13" i="9"/>
  <c r="D431" i="12"/>
  <c r="D470" i="9" s="1"/>
  <c r="D471" i="9"/>
  <c r="N79" i="9"/>
  <c r="N78" i="12"/>
  <c r="C360" i="12"/>
  <c r="G401" i="9"/>
  <c r="J174" i="9"/>
  <c r="G159" i="12"/>
  <c r="G174" i="9" s="1"/>
  <c r="M9" i="12"/>
  <c r="M9" i="9" s="1"/>
  <c r="M165" i="9"/>
  <c r="M132" i="12"/>
  <c r="M147" i="9" s="1"/>
  <c r="N60" i="9"/>
  <c r="N55" i="12"/>
  <c r="C502" i="12"/>
  <c r="C552" i="9" s="1"/>
  <c r="C553" i="9"/>
  <c r="H476" i="12"/>
  <c r="H526" i="9" s="1"/>
  <c r="K526" i="9"/>
  <c r="G262" i="12"/>
  <c r="G277" i="9" s="1"/>
  <c r="J277" i="9"/>
  <c r="G228" i="12"/>
  <c r="G243" i="9" s="1"/>
  <c r="J243" i="9"/>
  <c r="G620" i="9"/>
  <c r="J66" i="12"/>
  <c r="G50" i="12"/>
  <c r="G50" i="9" s="1"/>
  <c r="J50" i="9"/>
  <c r="H284" i="12"/>
  <c r="H299" i="9" s="1"/>
  <c r="K299" i="9"/>
  <c r="C487" i="12"/>
  <c r="C538" i="9"/>
  <c r="J143" i="9"/>
  <c r="J127" i="12"/>
  <c r="G128" i="12"/>
  <c r="G143" i="9" s="1"/>
  <c r="P392" i="12"/>
  <c r="P505" i="9"/>
  <c r="P454" i="12"/>
  <c r="P512" i="12"/>
  <c r="P572" i="9" s="1"/>
  <c r="P573" i="9"/>
  <c r="J12" i="9"/>
  <c r="N506" i="9"/>
  <c r="N455" i="12"/>
  <c r="G336" i="12"/>
  <c r="G375" i="9" s="1"/>
  <c r="J375" i="9"/>
  <c r="G153" i="12"/>
  <c r="G168" i="9" s="1"/>
  <c r="J168" i="9"/>
  <c r="G539" i="12"/>
  <c r="G599" i="9" s="1"/>
  <c r="N278" i="12"/>
  <c r="N299" i="9"/>
  <c r="N131" i="9"/>
  <c r="N111" i="12"/>
  <c r="N126" i="9" s="1"/>
  <c r="G492" i="12"/>
  <c r="G542" i="9" s="1"/>
  <c r="J542" i="9"/>
  <c r="G565" i="12"/>
  <c r="G629" i="9" s="1"/>
  <c r="J629" i="9"/>
  <c r="C215" i="12"/>
  <c r="G233" i="9"/>
  <c r="G507" i="12"/>
  <c r="G557" i="9" s="1"/>
  <c r="J557" i="9"/>
  <c r="G502" i="12"/>
  <c r="G552" i="9" s="1"/>
  <c r="J552" i="9"/>
  <c r="C255" i="12"/>
  <c r="G272" i="9"/>
  <c r="H173" i="12"/>
  <c r="H188" i="9" s="1"/>
  <c r="K188" i="9"/>
  <c r="G271" i="12"/>
  <c r="G286" i="9" s="1"/>
  <c r="J286" i="9"/>
  <c r="G116" i="12"/>
  <c r="G131" i="9" s="1"/>
  <c r="J131" i="9"/>
  <c r="I254" i="12"/>
  <c r="I269" i="9" s="1"/>
  <c r="L269" i="9"/>
  <c r="D393" i="12"/>
  <c r="D433" i="9"/>
  <c r="G265" i="12"/>
  <c r="G280" i="9" s="1"/>
  <c r="J280" i="9"/>
  <c r="Q17" i="12"/>
  <c r="Q18" i="9"/>
  <c r="D411" i="9"/>
  <c r="D368" i="12"/>
  <c r="D407" i="9" s="1"/>
  <c r="M78" i="9"/>
  <c r="M77" i="12"/>
  <c r="M77" i="9" s="1"/>
  <c r="M277" i="12"/>
  <c r="M292" i="9" s="1"/>
  <c r="M293" i="9"/>
  <c r="M178" i="9"/>
  <c r="M162" i="12"/>
  <c r="M177" i="9" s="1"/>
  <c r="Q277" i="12"/>
  <c r="Q292" i="9" s="1"/>
  <c r="Q293" i="9"/>
  <c r="H481" i="12"/>
  <c r="H531" i="9" s="1"/>
  <c r="K531" i="9"/>
  <c r="I11" i="12"/>
  <c r="I11" i="9" s="1"/>
  <c r="I12" i="9"/>
  <c r="G90" i="12"/>
  <c r="G90" i="9" s="1"/>
  <c r="J90" i="9"/>
  <c r="H471" i="12"/>
  <c r="H521" i="9" s="1"/>
  <c r="K521" i="9"/>
  <c r="I221" i="12"/>
  <c r="I236" i="9" s="1"/>
  <c r="L236" i="9"/>
  <c r="C250" i="12"/>
  <c r="G267" i="9"/>
  <c r="E300" i="12"/>
  <c r="E334" i="9"/>
  <c r="M454" i="12"/>
  <c r="M536" i="9"/>
  <c r="O9" i="9"/>
  <c r="E228" i="12"/>
  <c r="E244" i="9"/>
  <c r="O454" i="12"/>
  <c r="L351" i="12"/>
  <c r="G32" i="12"/>
  <c r="G32" i="9" s="1"/>
  <c r="J32" i="9"/>
  <c r="G268" i="12"/>
  <c r="G283" i="9" s="1"/>
  <c r="H461" i="12"/>
  <c r="H511" i="9" s="1"/>
  <c r="K511" i="9"/>
  <c r="N148" i="9"/>
  <c r="N132" i="12"/>
  <c r="P131" i="12"/>
  <c r="P177" i="9"/>
  <c r="G246" i="12"/>
  <c r="G261" i="9" s="1"/>
  <c r="C198" i="12"/>
  <c r="G215" i="9"/>
  <c r="D173" i="12"/>
  <c r="D188" i="9" s="1"/>
  <c r="D193" i="9"/>
  <c r="G545" i="9"/>
  <c r="C493" i="12"/>
  <c r="L243" i="9"/>
  <c r="I228" i="12"/>
  <c r="I243" i="9" s="1"/>
  <c r="N445" i="9"/>
  <c r="G406" i="12"/>
  <c r="G445" i="9" s="1"/>
  <c r="I620" i="9"/>
  <c r="I555" i="12"/>
  <c r="I619" i="9" s="1"/>
  <c r="M17" i="12"/>
  <c r="M46" i="9"/>
  <c r="D163" i="12"/>
  <c r="D181" i="9"/>
  <c r="I82" i="12"/>
  <c r="I82" i="9" s="1"/>
  <c r="I83" i="9"/>
  <c r="G400" i="12"/>
  <c r="G439" i="9" s="1"/>
  <c r="J439" i="9"/>
  <c r="H507" i="12"/>
  <c r="H557" i="9" s="1"/>
  <c r="K557" i="9"/>
  <c r="G67" i="12"/>
  <c r="G67" i="9" s="1"/>
  <c r="E308" i="12"/>
  <c r="E341" i="9" s="1"/>
  <c r="E345" i="9"/>
  <c r="G449" i="12"/>
  <c r="G488" i="9" s="1"/>
  <c r="I488" i="9"/>
  <c r="C324" i="12"/>
  <c r="G359" i="9"/>
  <c r="H187" i="12"/>
  <c r="H202" i="9" s="1"/>
  <c r="K202" i="9"/>
  <c r="H323" i="12"/>
  <c r="H356" i="9" s="1"/>
  <c r="K356" i="9"/>
  <c r="H228" i="12"/>
  <c r="H243" i="9" s="1"/>
  <c r="K243" i="9"/>
  <c r="G121" i="12"/>
  <c r="G136" i="9" s="1"/>
  <c r="J136" i="9"/>
  <c r="C423" i="12"/>
  <c r="C462" i="9" s="1"/>
  <c r="G464" i="9"/>
  <c r="G376" i="12"/>
  <c r="G415" i="9" s="1"/>
  <c r="N415" i="9"/>
  <c r="M242" i="12"/>
  <c r="M93" i="12"/>
  <c r="M105" i="9" s="1"/>
  <c r="H376" i="12"/>
  <c r="H415" i="9" s="1"/>
  <c r="C202" i="12"/>
  <c r="C217" i="9" s="1"/>
  <c r="C218" i="9"/>
  <c r="D512" i="12"/>
  <c r="D572" i="9" s="1"/>
  <c r="D573" i="9"/>
  <c r="N371" i="9"/>
  <c r="N331" i="12"/>
  <c r="N370" i="9" s="1"/>
  <c r="G355" i="12"/>
  <c r="G394" i="9" s="1"/>
  <c r="J394" i="9"/>
  <c r="G439" i="12"/>
  <c r="G478" i="9" s="1"/>
  <c r="H478" i="9"/>
  <c r="I7" i="12"/>
  <c r="I7" i="9" s="1"/>
  <c r="L7" i="9"/>
  <c r="E99" i="12"/>
  <c r="E111" i="9" s="1"/>
  <c r="E112" i="9"/>
  <c r="H351" i="12"/>
  <c r="H390" i="9" s="1"/>
  <c r="G280" i="12"/>
  <c r="G295" i="9" s="1"/>
  <c r="J279" i="12"/>
  <c r="J294" i="9" s="1"/>
  <c r="I418" i="12"/>
  <c r="I457" i="9" s="1"/>
  <c r="L392" i="12"/>
  <c r="G169" i="12"/>
  <c r="G184" i="9" s="1"/>
  <c r="J168" i="12"/>
  <c r="J214" i="12"/>
  <c r="J229" i="9" s="1"/>
  <c r="G215" i="12"/>
  <c r="G230" i="9" s="1"/>
  <c r="G47" i="12"/>
  <c r="G47" i="9" s="1"/>
  <c r="J46" i="12"/>
  <c r="J173" i="12"/>
  <c r="G174" i="12"/>
  <c r="G189" i="9" s="1"/>
  <c r="J481" i="12"/>
  <c r="G482" i="12"/>
  <c r="G532" i="9" s="1"/>
  <c r="C482" i="12"/>
  <c r="J316" i="12"/>
  <c r="G317" i="12"/>
  <c r="G350" i="9" s="1"/>
  <c r="J513" i="12"/>
  <c r="G514" i="12"/>
  <c r="K213" i="12"/>
  <c r="H214" i="12"/>
  <c r="H229" i="9" s="1"/>
  <c r="G163" i="12"/>
  <c r="G178" i="9" s="1"/>
  <c r="H18" i="12"/>
  <c r="H18" i="9" s="1"/>
  <c r="J471" i="12"/>
  <c r="G472" i="12"/>
  <c r="G522" i="9" s="1"/>
  <c r="G26" i="12"/>
  <c r="G26" i="9" s="1"/>
  <c r="J19" i="12"/>
  <c r="J19" i="9" s="1"/>
  <c r="K455" i="12"/>
  <c r="K505" i="9" s="1"/>
  <c r="H456" i="12"/>
  <c r="H506" i="9" s="1"/>
  <c r="G244" i="12"/>
  <c r="G259" i="9" s="1"/>
  <c r="J243" i="12"/>
  <c r="J258" i="9" s="1"/>
  <c r="K512" i="12"/>
  <c r="H513" i="12"/>
  <c r="H573" i="9" s="1"/>
  <c r="H48" i="12"/>
  <c r="H48" i="9" s="1"/>
  <c r="K47" i="12"/>
  <c r="K47" i="9" s="1"/>
  <c r="G198" i="12"/>
  <c r="G213" i="9" s="1"/>
  <c r="J197" i="12"/>
  <c r="L512" i="12"/>
  <c r="I513" i="12"/>
  <c r="I573" i="9" s="1"/>
  <c r="G324" i="12"/>
  <c r="G357" i="9" s="1"/>
  <c r="J323" i="12"/>
  <c r="G255" i="12"/>
  <c r="G270" i="9" s="1"/>
  <c r="J254" i="12"/>
  <c r="H249" i="12"/>
  <c r="H264" i="9" s="1"/>
  <c r="K242" i="12"/>
  <c r="K486" i="12"/>
  <c r="H487" i="12"/>
  <c r="H537" i="9" s="1"/>
  <c r="I296" i="12"/>
  <c r="I329" i="9" s="1"/>
  <c r="L295" i="12"/>
  <c r="L328" i="9" s="1"/>
  <c r="G373" i="12"/>
  <c r="N372" i="12"/>
  <c r="N411" i="9" s="1"/>
  <c r="I116" i="12"/>
  <c r="I131" i="9" s="1"/>
  <c r="L111" i="12"/>
  <c r="H11" i="12"/>
  <c r="H11" i="9" s="1"/>
  <c r="G12" i="12"/>
  <c r="L242" i="12"/>
  <c r="H168" i="12"/>
  <c r="H183" i="9" s="1"/>
  <c r="K162" i="12"/>
  <c r="K330" i="12"/>
  <c r="H331" i="12"/>
  <c r="H370" i="9" s="1"/>
  <c r="G133" i="12"/>
  <c r="G148" i="9" s="1"/>
  <c r="J132" i="12"/>
  <c r="J147" i="9" s="1"/>
  <c r="H279" i="12"/>
  <c r="H294" i="9" s="1"/>
  <c r="K278" i="12"/>
  <c r="K293" i="9" s="1"/>
  <c r="G359" i="12"/>
  <c r="G398" i="9" s="1"/>
  <c r="J351" i="12"/>
  <c r="J555" i="12"/>
  <c r="J619" i="9" s="1"/>
  <c r="J99" i="12"/>
  <c r="J111" i="9" s="1"/>
  <c r="G100" i="12"/>
  <c r="G112" i="9" s="1"/>
  <c r="J456" i="12"/>
  <c r="J506" i="9" s="1"/>
  <c r="G457" i="12"/>
  <c r="G507" i="9" s="1"/>
  <c r="L93" i="12"/>
  <c r="I94" i="12"/>
  <c r="I345" i="12"/>
  <c r="I384" i="9" s="1"/>
  <c r="L331" i="12"/>
  <c r="L370" i="9" s="1"/>
  <c r="J55" i="12"/>
  <c r="G56" i="12"/>
  <c r="G56" i="9" s="1"/>
  <c r="H113" i="12"/>
  <c r="H128" i="9" s="1"/>
  <c r="K112" i="12"/>
  <c r="K127" i="9" s="1"/>
  <c r="G181" i="12"/>
  <c r="G196" i="9" s="1"/>
  <c r="J180" i="12"/>
  <c r="K82" i="12"/>
  <c r="K82" i="9" s="1"/>
  <c r="H83" i="12"/>
  <c r="G250" i="12"/>
  <c r="G265" i="9" s="1"/>
  <c r="J249" i="12"/>
  <c r="G222" i="12"/>
  <c r="G237" i="9" s="1"/>
  <c r="J221" i="12"/>
  <c r="L454" i="12"/>
  <c r="L504" i="9" s="1"/>
  <c r="I486" i="12"/>
  <c r="I536" i="9" s="1"/>
  <c r="J29" i="12"/>
  <c r="H133" i="12"/>
  <c r="H148" i="9" s="1"/>
  <c r="K132" i="12"/>
  <c r="K147" i="9" s="1"/>
  <c r="H410" i="12"/>
  <c r="H449" i="9" s="1"/>
  <c r="K392" i="12"/>
  <c r="I214" i="12"/>
  <c r="I229" i="9" s="1"/>
  <c r="L213" i="12"/>
  <c r="L131" i="12" s="1"/>
  <c r="L146" i="9" s="1"/>
  <c r="J187" i="12"/>
  <c r="G188" i="12"/>
  <c r="G203" i="9" s="1"/>
  <c r="J486" i="12"/>
  <c r="G487" i="12"/>
  <c r="G537" i="9" s="1"/>
  <c r="J331" i="12"/>
  <c r="J370" i="9" s="1"/>
  <c r="J82" i="12"/>
  <c r="J82" i="9" s="1"/>
  <c r="G83" i="12"/>
  <c r="G112" i="12"/>
  <c r="G127" i="9" s="1"/>
  <c r="J111" i="12"/>
  <c r="J418" i="12"/>
  <c r="G419" i="12"/>
  <c r="G458" i="9" s="1"/>
  <c r="G393" i="12"/>
  <c r="G432" i="9" s="1"/>
  <c r="J392" i="12"/>
  <c r="H316" i="12"/>
  <c r="H349" i="9" s="1"/>
  <c r="K308" i="12"/>
  <c r="K341" i="9" s="1"/>
  <c r="G300" i="12"/>
  <c r="G333" i="9" s="1"/>
  <c r="J296" i="12"/>
  <c r="J329" i="9" s="1"/>
  <c r="G285" i="12"/>
  <c r="G300" i="9" s="1"/>
  <c r="J284" i="12"/>
  <c r="G312" i="12"/>
  <c r="G345" i="9" s="1"/>
  <c r="J41" i="12"/>
  <c r="G42" i="12"/>
  <c r="G42" i="9" s="1"/>
  <c r="O92" i="12"/>
  <c r="I78" i="12"/>
  <c r="L77" i="12"/>
  <c r="L77" i="9" s="1"/>
  <c r="H99" i="12"/>
  <c r="H111" i="9" s="1"/>
  <c r="K94" i="12"/>
  <c r="K106" i="9" s="1"/>
  <c r="I34" i="12"/>
  <c r="I34" i="9" s="1"/>
  <c r="L9" i="12"/>
  <c r="L18" i="12"/>
  <c r="L18" i="9" s="1"/>
  <c r="L277" i="12"/>
  <c r="L292" i="9" s="1"/>
  <c r="I278" i="12"/>
  <c r="D351" i="12" l="1"/>
  <c r="D390" i="9" s="1"/>
  <c r="D394" i="9"/>
  <c r="O407" i="9"/>
  <c r="O330" i="12"/>
  <c r="O369" i="9" s="1"/>
  <c r="H213" i="12"/>
  <c r="H228" i="9" s="1"/>
  <c r="K228" i="9"/>
  <c r="I351" i="12"/>
  <c r="I390" i="9" s="1"/>
  <c r="L390" i="9"/>
  <c r="D229" i="9"/>
  <c r="D213" i="12"/>
  <c r="D228" i="9" s="1"/>
  <c r="C507" i="12"/>
  <c r="C557" i="9" s="1"/>
  <c r="C558" i="9"/>
  <c r="P294" i="12"/>
  <c r="P327" i="9" s="1"/>
  <c r="P328" i="9"/>
  <c r="C345" i="12"/>
  <c r="C385" i="9"/>
  <c r="N512" i="12"/>
  <c r="N572" i="9" s="1"/>
  <c r="N573" i="9"/>
  <c r="G513" i="12"/>
  <c r="G574" i="9"/>
  <c r="O453" i="12"/>
  <c r="O503" i="9" s="1"/>
  <c r="O504" i="9"/>
  <c r="G66" i="12"/>
  <c r="G66" i="9" s="1"/>
  <c r="J66" i="9"/>
  <c r="C418" i="12"/>
  <c r="C458" i="9"/>
  <c r="C471" i="12"/>
  <c r="C521" i="9" s="1"/>
  <c r="C522" i="9"/>
  <c r="E127" i="9"/>
  <c r="E111" i="12"/>
  <c r="E126" i="9" s="1"/>
  <c r="Q513" i="12"/>
  <c r="Q574" i="9"/>
  <c r="C284" i="12"/>
  <c r="C299" i="9" s="1"/>
  <c r="C300" i="9"/>
  <c r="C456" i="12"/>
  <c r="C507" i="9"/>
  <c r="G284" i="12"/>
  <c r="G299" i="9" s="1"/>
  <c r="J299" i="9"/>
  <c r="H330" i="12"/>
  <c r="H369" i="9" s="1"/>
  <c r="K369" i="9"/>
  <c r="C323" i="12"/>
  <c r="C356" i="9" s="1"/>
  <c r="C357" i="9"/>
  <c r="N17" i="12"/>
  <c r="N18" i="9"/>
  <c r="J79" i="9"/>
  <c r="G79" i="12"/>
  <c r="G79" i="9" s="1"/>
  <c r="J78" i="12"/>
  <c r="E384" i="9"/>
  <c r="E331" i="12"/>
  <c r="G15" i="12"/>
  <c r="G15" i="9" s="1"/>
  <c r="H15" i="9"/>
  <c r="C279" i="12"/>
  <c r="C295" i="9"/>
  <c r="G555" i="12"/>
  <c r="G619" i="9" s="1"/>
  <c r="E18" i="12"/>
  <c r="E19" i="9"/>
  <c r="G316" i="12"/>
  <c r="G349" i="9" s="1"/>
  <c r="J349" i="9"/>
  <c r="J449" i="9"/>
  <c r="G410" i="12"/>
  <c r="G449" i="9" s="1"/>
  <c r="E94" i="12"/>
  <c r="E107" i="9"/>
  <c r="G430" i="12"/>
  <c r="G469" i="9" s="1"/>
  <c r="H469" i="9"/>
  <c r="H242" i="12"/>
  <c r="H257" i="9" s="1"/>
  <c r="K257" i="9"/>
  <c r="O16" i="12"/>
  <c r="O16" i="9" s="1"/>
  <c r="O17" i="9"/>
  <c r="G249" i="12"/>
  <c r="G264" i="9" s="1"/>
  <c r="J264" i="9"/>
  <c r="I77" i="12"/>
  <c r="I77" i="9" s="1"/>
  <c r="I78" i="9"/>
  <c r="G392" i="12"/>
  <c r="G431" i="9" s="1"/>
  <c r="J431" i="9"/>
  <c r="G187" i="12"/>
  <c r="G202" i="9" s="1"/>
  <c r="J202" i="9"/>
  <c r="H368" i="12"/>
  <c r="G254" i="12"/>
  <c r="G269" i="9" s="1"/>
  <c r="J269" i="9"/>
  <c r="C481" i="12"/>
  <c r="C531" i="9" s="1"/>
  <c r="C532" i="9"/>
  <c r="I392" i="12"/>
  <c r="I431" i="9" s="1"/>
  <c r="L431" i="9"/>
  <c r="M16" i="12"/>
  <c r="M16" i="9" s="1"/>
  <c r="M17" i="9"/>
  <c r="N9" i="12"/>
  <c r="N9" i="9" s="1"/>
  <c r="Q17" i="9"/>
  <c r="Q16" i="12"/>
  <c r="C254" i="12"/>
  <c r="C269" i="9" s="1"/>
  <c r="C270" i="9"/>
  <c r="N277" i="12"/>
  <c r="N292" i="9" s="1"/>
  <c r="N293" i="9"/>
  <c r="P431" i="9"/>
  <c r="P330" i="12"/>
  <c r="P369" i="9" s="1"/>
  <c r="Q92" i="12"/>
  <c r="Q104" i="9" s="1"/>
  <c r="Q105" i="9"/>
  <c r="E514" i="12"/>
  <c r="C221" i="12"/>
  <c r="C236" i="9" s="1"/>
  <c r="C237" i="9"/>
  <c r="K7" i="9"/>
  <c r="H7" i="12"/>
  <c r="J7" i="12"/>
  <c r="J7" i="9" s="1"/>
  <c r="Q294" i="12"/>
  <c r="Q327" i="9" s="1"/>
  <c r="Q328" i="9"/>
  <c r="C50" i="12"/>
  <c r="C51" i="9"/>
  <c r="G29" i="12"/>
  <c r="G29" i="9" s="1"/>
  <c r="J29" i="9"/>
  <c r="G55" i="12"/>
  <c r="G55" i="9" s="1"/>
  <c r="J55" i="9"/>
  <c r="O294" i="12"/>
  <c r="O327" i="9" s="1"/>
  <c r="O328" i="9"/>
  <c r="N392" i="12"/>
  <c r="N431" i="9" s="1"/>
  <c r="D349" i="9"/>
  <c r="D308" i="12"/>
  <c r="C67" i="12"/>
  <c r="C70" i="9"/>
  <c r="H66" i="12"/>
  <c r="H66" i="9" s="1"/>
  <c r="K66" i="9"/>
  <c r="O8" i="12"/>
  <c r="O104" i="9"/>
  <c r="C359" i="12"/>
  <c r="C399" i="9"/>
  <c r="Q453" i="12"/>
  <c r="Q503" i="9" s="1"/>
  <c r="Q504" i="9"/>
  <c r="M453" i="12"/>
  <c r="M503" i="9" s="1"/>
  <c r="M504" i="9"/>
  <c r="C22" i="9"/>
  <c r="C19" i="12"/>
  <c r="G41" i="12"/>
  <c r="G41" i="9" s="1"/>
  <c r="J41" i="9"/>
  <c r="G418" i="12"/>
  <c r="G457" i="9" s="1"/>
  <c r="J457" i="9"/>
  <c r="G180" i="12"/>
  <c r="G195" i="9" s="1"/>
  <c r="J195" i="9"/>
  <c r="J308" i="12"/>
  <c r="G111" i="12"/>
  <c r="G126" i="9" s="1"/>
  <c r="J126" i="9"/>
  <c r="H392" i="12"/>
  <c r="H431" i="9" s="1"/>
  <c r="K431" i="9"/>
  <c r="G351" i="12"/>
  <c r="G390" i="9" s="1"/>
  <c r="J390" i="9"/>
  <c r="I111" i="12"/>
  <c r="I126" i="9" s="1"/>
  <c r="L126" i="9"/>
  <c r="G173" i="12"/>
  <c r="G188" i="9" s="1"/>
  <c r="J188" i="9"/>
  <c r="E296" i="12"/>
  <c r="E333" i="9"/>
  <c r="D392" i="12"/>
  <c r="D431" i="9" s="1"/>
  <c r="D432" i="9"/>
  <c r="C187" i="12"/>
  <c r="C202" i="9" s="1"/>
  <c r="C203" i="9"/>
  <c r="D331" i="12"/>
  <c r="D370" i="9" s="1"/>
  <c r="D371" i="9"/>
  <c r="C168" i="12"/>
  <c r="C184" i="9"/>
  <c r="D379" i="12"/>
  <c r="D423" i="9"/>
  <c r="G221" i="12"/>
  <c r="G236" i="9" s="1"/>
  <c r="J236" i="9"/>
  <c r="I93" i="12"/>
  <c r="I105" i="9" s="1"/>
  <c r="I106" i="9"/>
  <c r="H486" i="12"/>
  <c r="H536" i="9" s="1"/>
  <c r="K536" i="9"/>
  <c r="H512" i="12"/>
  <c r="H572" i="9" s="1"/>
  <c r="K572" i="9"/>
  <c r="M131" i="12"/>
  <c r="M257" i="9"/>
  <c r="H162" i="12"/>
  <c r="H177" i="9" s="1"/>
  <c r="K177" i="9"/>
  <c r="D178" i="9"/>
  <c r="D162" i="12"/>
  <c r="C197" i="12"/>
  <c r="C212" i="9" s="1"/>
  <c r="C213" i="9"/>
  <c r="E243" i="9"/>
  <c r="E213" i="12"/>
  <c r="P453" i="12"/>
  <c r="P503" i="9" s="1"/>
  <c r="P504" i="9"/>
  <c r="H82" i="12"/>
  <c r="H82" i="9" s="1"/>
  <c r="H83" i="9"/>
  <c r="I242" i="12"/>
  <c r="I257" i="9" s="1"/>
  <c r="L257" i="9"/>
  <c r="G202" i="12"/>
  <c r="G217" i="9" s="1"/>
  <c r="J217" i="9"/>
  <c r="G481" i="12"/>
  <c r="G531" i="9" s="1"/>
  <c r="J531" i="9"/>
  <c r="I512" i="12"/>
  <c r="I572" i="9" s="1"/>
  <c r="L572" i="9"/>
  <c r="G471" i="12"/>
  <c r="G521" i="9" s="1"/>
  <c r="J521" i="9"/>
  <c r="C537" i="9"/>
  <c r="E55" i="12"/>
  <c r="E55" i="9" s="1"/>
  <c r="E56" i="9"/>
  <c r="G323" i="12"/>
  <c r="G356" i="9" s="1"/>
  <c r="J356" i="9"/>
  <c r="J142" i="9"/>
  <c r="G127" i="12"/>
  <c r="G142" i="9" s="1"/>
  <c r="C116" i="12"/>
  <c r="C132" i="9"/>
  <c r="I277" i="12"/>
  <c r="I292" i="9" s="1"/>
  <c r="I293" i="9"/>
  <c r="G197" i="12"/>
  <c r="G212" i="9" s="1"/>
  <c r="J212" i="9"/>
  <c r="G46" i="12"/>
  <c r="G46" i="9" s="1"/>
  <c r="J46" i="9"/>
  <c r="C249" i="12"/>
  <c r="C265" i="9"/>
  <c r="C214" i="12"/>
  <c r="C230" i="9"/>
  <c r="N454" i="12"/>
  <c r="N505" i="9"/>
  <c r="E392" i="12"/>
  <c r="E431" i="9" s="1"/>
  <c r="E449" i="9"/>
  <c r="C99" i="12"/>
  <c r="C112" i="9"/>
  <c r="C173" i="12"/>
  <c r="C188" i="9" s="1"/>
  <c r="C189" i="9"/>
  <c r="I9" i="12"/>
  <c r="I9" i="9" s="1"/>
  <c r="L9" i="9"/>
  <c r="J512" i="12"/>
  <c r="J572" i="9" s="1"/>
  <c r="J573" i="9"/>
  <c r="G486" i="12"/>
  <c r="G536" i="9" s="1"/>
  <c r="J536" i="9"/>
  <c r="L92" i="12"/>
  <c r="L104" i="9" s="1"/>
  <c r="L105" i="9"/>
  <c r="G168" i="12"/>
  <c r="G183" i="9" s="1"/>
  <c r="J183" i="9"/>
  <c r="I213" i="12"/>
  <c r="L228" i="9"/>
  <c r="P146" i="9"/>
  <c r="P92" i="12"/>
  <c r="D430" i="12"/>
  <c r="D469" i="9" s="1"/>
  <c r="D474" i="9"/>
  <c r="G11" i="12"/>
  <c r="G11" i="9" s="1"/>
  <c r="G12" i="9"/>
  <c r="N147" i="9"/>
  <c r="N131" i="12"/>
  <c r="N78" i="9"/>
  <c r="N77" i="12"/>
  <c r="N77" i="9" s="1"/>
  <c r="C316" i="12"/>
  <c r="C350" i="9"/>
  <c r="G82" i="12"/>
  <c r="G82" i="9" s="1"/>
  <c r="G83" i="9"/>
  <c r="G374" i="12"/>
  <c r="G413" i="9" s="1"/>
  <c r="G412" i="9"/>
  <c r="C492" i="12"/>
  <c r="C542" i="9" s="1"/>
  <c r="C543" i="9"/>
  <c r="N55" i="9"/>
  <c r="H55" i="12"/>
  <c r="H55" i="9" s="1"/>
  <c r="N295" i="12"/>
  <c r="N329" i="9"/>
  <c r="N93" i="12"/>
  <c r="N105" i="9" s="1"/>
  <c r="N106" i="9"/>
  <c r="M294" i="12"/>
  <c r="M327" i="9" s="1"/>
  <c r="M328" i="9"/>
  <c r="O7" i="9"/>
  <c r="N7" i="12"/>
  <c r="N7" i="9" s="1"/>
  <c r="J455" i="12"/>
  <c r="J505" i="9" s="1"/>
  <c r="G456" i="12"/>
  <c r="G506" i="9" s="1"/>
  <c r="J213" i="12"/>
  <c r="G214" i="12"/>
  <c r="G229" i="9" s="1"/>
  <c r="G99" i="12"/>
  <c r="G111" i="9" s="1"/>
  <c r="J94" i="12"/>
  <c r="J106" i="9" s="1"/>
  <c r="K454" i="12"/>
  <c r="K504" i="9" s="1"/>
  <c r="H455" i="12"/>
  <c r="H505" i="9" s="1"/>
  <c r="J18" i="12"/>
  <c r="J18" i="9" s="1"/>
  <c r="G19" i="12"/>
  <c r="G19" i="9" s="1"/>
  <c r="H308" i="12"/>
  <c r="H341" i="9" s="1"/>
  <c r="K295" i="12"/>
  <c r="K328" i="9" s="1"/>
  <c r="H112" i="12"/>
  <c r="H127" i="9" s="1"/>
  <c r="K111" i="12"/>
  <c r="L17" i="12"/>
  <c r="I18" i="12"/>
  <c r="K131" i="12"/>
  <c r="K146" i="9" s="1"/>
  <c r="H132" i="12"/>
  <c r="K277" i="12"/>
  <c r="K292" i="9" s="1"/>
  <c r="H278" i="12"/>
  <c r="G372" i="12"/>
  <c r="G411" i="9" s="1"/>
  <c r="N368" i="12"/>
  <c r="G279" i="12"/>
  <c r="G294" i="9" s="1"/>
  <c r="J278" i="12"/>
  <c r="J293" i="9" s="1"/>
  <c r="G132" i="12"/>
  <c r="I295" i="12"/>
  <c r="L294" i="12"/>
  <c r="L327" i="9" s="1"/>
  <c r="H47" i="12"/>
  <c r="H47" i="9" s="1"/>
  <c r="K46" i="12"/>
  <c r="K46" i="9" s="1"/>
  <c r="K9" i="12"/>
  <c r="K9" i="9" s="1"/>
  <c r="G243" i="12"/>
  <c r="G258" i="9" s="1"/>
  <c r="J242" i="12"/>
  <c r="H94" i="12"/>
  <c r="J295" i="12"/>
  <c r="J328" i="9" s="1"/>
  <c r="G296" i="12"/>
  <c r="G329" i="9" s="1"/>
  <c r="I331" i="12"/>
  <c r="I370" i="9" s="1"/>
  <c r="L330" i="12"/>
  <c r="J330" i="12"/>
  <c r="J369" i="9" s="1"/>
  <c r="G331" i="12"/>
  <c r="G370" i="9" s="1"/>
  <c r="L453" i="12"/>
  <c r="I454" i="12"/>
  <c r="I504" i="9" s="1"/>
  <c r="J162" i="12"/>
  <c r="N294" i="12" l="1"/>
  <c r="N327" i="9" s="1"/>
  <c r="N328" i="9"/>
  <c r="C213" i="12"/>
  <c r="C228" i="9" s="1"/>
  <c r="C229" i="9"/>
  <c r="M92" i="12"/>
  <c r="M146" i="9"/>
  <c r="E513" i="12"/>
  <c r="E574" i="9"/>
  <c r="E17" i="12"/>
  <c r="E18" i="9"/>
  <c r="G242" i="12"/>
  <c r="G257" i="9" s="1"/>
  <c r="J257" i="9"/>
  <c r="H131" i="12"/>
  <c r="H146" i="9" s="1"/>
  <c r="H147" i="9"/>
  <c r="H277" i="12"/>
  <c r="H292" i="9" s="1"/>
  <c r="H293" i="9"/>
  <c r="C264" i="9"/>
  <c r="C242" i="12"/>
  <c r="C392" i="12"/>
  <c r="C457" i="9"/>
  <c r="E329" i="9"/>
  <c r="E295" i="12"/>
  <c r="C46" i="12"/>
  <c r="C46" i="9" s="1"/>
  <c r="C50" i="9"/>
  <c r="G368" i="12"/>
  <c r="G407" i="9" s="1"/>
  <c r="H407" i="9"/>
  <c r="E370" i="9"/>
  <c r="E330" i="12"/>
  <c r="E369" i="9" s="1"/>
  <c r="C506" i="9"/>
  <c r="C455" i="12"/>
  <c r="I453" i="12"/>
  <c r="I503" i="9" s="1"/>
  <c r="L503" i="9"/>
  <c r="I294" i="12"/>
  <c r="I327" i="9" s="1"/>
  <c r="I328" i="9"/>
  <c r="E93" i="12"/>
  <c r="E106" i="9"/>
  <c r="J78" i="9"/>
  <c r="G78" i="12"/>
  <c r="J77" i="12"/>
  <c r="J77" i="9" s="1"/>
  <c r="G512" i="12"/>
  <c r="G572" i="9" s="1"/>
  <c r="G573" i="9"/>
  <c r="N92" i="12"/>
  <c r="N104" i="9" s="1"/>
  <c r="N146" i="9"/>
  <c r="I17" i="12"/>
  <c r="I18" i="9"/>
  <c r="C278" i="12"/>
  <c r="C294" i="9"/>
  <c r="L16" i="12"/>
  <c r="L16" i="9" s="1"/>
  <c r="L17" i="9"/>
  <c r="P8" i="12"/>
  <c r="P8" i="9" s="1"/>
  <c r="P104" i="9"/>
  <c r="C94" i="12"/>
  <c r="C111" i="9"/>
  <c r="D177" i="9"/>
  <c r="D131" i="12"/>
  <c r="C66" i="12"/>
  <c r="C66" i="9" s="1"/>
  <c r="C67" i="9"/>
  <c r="Q16" i="9"/>
  <c r="C351" i="12"/>
  <c r="C390" i="9" s="1"/>
  <c r="C398" i="9"/>
  <c r="H111" i="12"/>
  <c r="H126" i="9" s="1"/>
  <c r="K126" i="9"/>
  <c r="E228" i="9"/>
  <c r="E131" i="12"/>
  <c r="E146" i="9" s="1"/>
  <c r="O6" i="12"/>
  <c r="O8" i="9"/>
  <c r="I330" i="12"/>
  <c r="I369" i="9" s="1"/>
  <c r="L369" i="9"/>
  <c r="D330" i="12"/>
  <c r="D369" i="9" s="1"/>
  <c r="D418" i="9"/>
  <c r="C19" i="9"/>
  <c r="C18" i="12"/>
  <c r="D295" i="12"/>
  <c r="D341" i="9"/>
  <c r="H7" i="9"/>
  <c r="G7" i="12"/>
  <c r="G7" i="9" s="1"/>
  <c r="Q512" i="12"/>
  <c r="Q572" i="9" s="1"/>
  <c r="Q573" i="9"/>
  <c r="H106" i="9"/>
  <c r="G213" i="12"/>
  <c r="G228" i="9" s="1"/>
  <c r="J228" i="9"/>
  <c r="G308" i="12"/>
  <c r="G341" i="9" s="1"/>
  <c r="J341" i="9"/>
  <c r="C486" i="12"/>
  <c r="C536" i="9" s="1"/>
  <c r="C308" i="12"/>
  <c r="C349" i="9"/>
  <c r="C111" i="12"/>
  <c r="C126" i="9" s="1"/>
  <c r="C131" i="9"/>
  <c r="N330" i="12"/>
  <c r="G330" i="12" s="1"/>
  <c r="G369" i="9" s="1"/>
  <c r="N407" i="9"/>
  <c r="G162" i="12"/>
  <c r="G177" i="9" s="1"/>
  <c r="J177" i="9"/>
  <c r="G147" i="9"/>
  <c r="I131" i="12"/>
  <c r="I146" i="9" s="1"/>
  <c r="I228" i="9"/>
  <c r="N453" i="12"/>
  <c r="N503" i="9" s="1"/>
  <c r="N504" i="9"/>
  <c r="C162" i="12"/>
  <c r="C177" i="9" s="1"/>
  <c r="C183" i="9"/>
  <c r="N16" i="12"/>
  <c r="N16" i="9" s="1"/>
  <c r="N17" i="9"/>
  <c r="C331" i="12"/>
  <c r="C370" i="9" s="1"/>
  <c r="C384" i="9"/>
  <c r="J17" i="12"/>
  <c r="G18" i="12"/>
  <c r="K93" i="12"/>
  <c r="K453" i="12"/>
  <c r="H454" i="12"/>
  <c r="H504" i="9" s="1"/>
  <c r="H295" i="12"/>
  <c r="K294" i="12"/>
  <c r="K327" i="9" s="1"/>
  <c r="J93" i="12"/>
  <c r="J105" i="9" s="1"/>
  <c r="G94" i="12"/>
  <c r="G278" i="12"/>
  <c r="J277" i="12"/>
  <c r="J292" i="9" s="1"/>
  <c r="J9" i="12"/>
  <c r="J9" i="9" s="1"/>
  <c r="H9" i="12"/>
  <c r="H46" i="12"/>
  <c r="K17" i="12"/>
  <c r="J294" i="12"/>
  <c r="J327" i="9" s="1"/>
  <c r="G295" i="12"/>
  <c r="L8" i="12"/>
  <c r="L8" i="9" s="1"/>
  <c r="J131" i="12"/>
  <c r="J146" i="9" s="1"/>
  <c r="J454" i="12"/>
  <c r="J504" i="9" s="1"/>
  <c r="G455" i="12"/>
  <c r="G505" i="9" s="1"/>
  <c r="E294" i="12" l="1"/>
  <c r="E327" i="9" s="1"/>
  <c r="E328" i="9"/>
  <c r="D92" i="12"/>
  <c r="D146" i="9"/>
  <c r="H453" i="12"/>
  <c r="H503" i="9" s="1"/>
  <c r="K503" i="9"/>
  <c r="K16" i="12"/>
  <c r="K17" i="9"/>
  <c r="H17" i="12"/>
  <c r="H46" i="9"/>
  <c r="G294" i="12"/>
  <c r="G327" i="9" s="1"/>
  <c r="G328" i="9"/>
  <c r="K92" i="12"/>
  <c r="K104" i="9" s="1"/>
  <c r="K105" i="9"/>
  <c r="G131" i="12"/>
  <c r="G146" i="9" s="1"/>
  <c r="E16" i="12"/>
  <c r="E17" i="9"/>
  <c r="H294" i="12"/>
  <c r="H327" i="9" s="1"/>
  <c r="H328" i="9"/>
  <c r="G17" i="12"/>
  <c r="G18" i="9"/>
  <c r="H93" i="12"/>
  <c r="O6" i="9"/>
  <c r="C93" i="12"/>
  <c r="C105" i="9" s="1"/>
  <c r="C106" i="9"/>
  <c r="G77" i="12"/>
  <c r="G77" i="9" s="1"/>
  <c r="G78" i="9"/>
  <c r="J16" i="12"/>
  <c r="J16" i="9" s="1"/>
  <c r="J17" i="9"/>
  <c r="N8" i="12"/>
  <c r="N369" i="9"/>
  <c r="E92" i="12"/>
  <c r="E104" i="9" s="1"/>
  <c r="E105" i="9"/>
  <c r="C330" i="12"/>
  <c r="C369" i="9" s="1"/>
  <c r="C431" i="9"/>
  <c r="C131" i="12"/>
  <c r="C257" i="9"/>
  <c r="M8" i="12"/>
  <c r="M104" i="9"/>
  <c r="G93" i="12"/>
  <c r="G106" i="9"/>
  <c r="C295" i="12"/>
  <c r="C341" i="9"/>
  <c r="C18" i="9"/>
  <c r="C17" i="12"/>
  <c r="Q8" i="12"/>
  <c r="G277" i="12"/>
  <c r="G292" i="9" s="1"/>
  <c r="G293" i="9"/>
  <c r="D294" i="12"/>
  <c r="D327" i="9" s="1"/>
  <c r="D328" i="9"/>
  <c r="C277" i="12"/>
  <c r="C292" i="9" s="1"/>
  <c r="C293" i="9"/>
  <c r="I16" i="12"/>
  <c r="I17" i="9"/>
  <c r="C454" i="12"/>
  <c r="C505" i="9"/>
  <c r="G9" i="12"/>
  <c r="G9" i="9" s="1"/>
  <c r="H9" i="9"/>
  <c r="E512" i="12"/>
  <c r="E572" i="9" s="1"/>
  <c r="E573" i="9"/>
  <c r="I92" i="12"/>
  <c r="I104" i="9" s="1"/>
  <c r="J453" i="12"/>
  <c r="G454" i="12"/>
  <c r="G504" i="9" s="1"/>
  <c r="J92" i="12"/>
  <c r="J104" i="9" s="1"/>
  <c r="J8" i="12"/>
  <c r="J8" i="9" s="1"/>
  <c r="M6" i="12" l="1"/>
  <c r="M8" i="9"/>
  <c r="C453" i="12"/>
  <c r="C503" i="9" s="1"/>
  <c r="C504" i="9"/>
  <c r="G92" i="12"/>
  <c r="G104" i="9" s="1"/>
  <c r="G105" i="9"/>
  <c r="I16" i="9"/>
  <c r="I8" i="12"/>
  <c r="G16" i="12"/>
  <c r="G17" i="9"/>
  <c r="Q6" i="12"/>
  <c r="Q8" i="9"/>
  <c r="C92" i="12"/>
  <c r="C146" i="9"/>
  <c r="H16" i="12"/>
  <c r="H17" i="9"/>
  <c r="G453" i="12"/>
  <c r="G503" i="9" s="1"/>
  <c r="J503" i="9"/>
  <c r="C16" i="12"/>
  <c r="C16" i="9" s="1"/>
  <c r="C17" i="9"/>
  <c r="E16" i="9"/>
  <c r="E8" i="12"/>
  <c r="E8" i="9" s="1"/>
  <c r="H92" i="12"/>
  <c r="H104" i="9" s="1"/>
  <c r="H105" i="9"/>
  <c r="K8" i="12"/>
  <c r="K16" i="9"/>
  <c r="N6" i="12"/>
  <c r="N6" i="9" s="1"/>
  <c r="N8" i="9"/>
  <c r="D8" i="12"/>
  <c r="D8" i="9" s="1"/>
  <c r="D104" i="9"/>
  <c r="C294" i="12"/>
  <c r="C327" i="9" s="1"/>
  <c r="C328" i="9"/>
  <c r="C12" i="12"/>
  <c r="C12" i="9" s="1"/>
  <c r="J6" i="12"/>
  <c r="J6" i="9" s="1"/>
  <c r="Q6" i="9" l="1"/>
  <c r="C8" i="12"/>
  <c r="C8" i="9" s="1"/>
  <c r="C104" i="9"/>
  <c r="G16" i="9"/>
  <c r="G8" i="12"/>
  <c r="I6" i="12"/>
  <c r="I6" i="9" s="1"/>
  <c r="I8" i="9"/>
  <c r="K6" i="12"/>
  <c r="K8" i="9"/>
  <c r="H8" i="12"/>
  <c r="H16" i="9"/>
  <c r="M6" i="9"/>
  <c r="H6" i="12" l="1"/>
  <c r="H6" i="9" s="1"/>
  <c r="H8" i="9"/>
  <c r="K6" i="9"/>
  <c r="G6" i="12"/>
  <c r="G8" i="9"/>
  <c r="G6" i="9" l="1"/>
  <c r="D15" i="12"/>
  <c r="D15" i="9" s="1"/>
  <c r="E14" i="12"/>
  <c r="E14" i="9" s="1"/>
  <c r="C11" i="12"/>
  <c r="C11" i="9" s="1"/>
</calcChain>
</file>

<file path=xl/sharedStrings.xml><?xml version="1.0" encoding="utf-8"?>
<sst xmlns="http://schemas.openxmlformats.org/spreadsheetml/2006/main" count="4573" uniqueCount="1081">
  <si>
    <t>transfery:
10 % z EFRR do KF
2 % z ESF+ do KF
5 % z MRR do VRR (BSK)</t>
  </si>
  <si>
    <t>IÚI spolu 
(IÚI + IÚI-UMR)</t>
  </si>
  <si>
    <t>Marginalizované rómske komunity
(MRK)</t>
  </si>
  <si>
    <t>Finančné nástroje
(FN)</t>
  </si>
  <si>
    <t>Gestor</t>
  </si>
  <si>
    <t>Rozdelenie alokácie Programu Slovensko 2021 - 2027</t>
  </si>
  <si>
    <t>Cieľ politiky / priorita / špecifický cieľ / opatrenie</t>
  </si>
  <si>
    <t>EFRR/KF/ESF+/FST</t>
  </si>
  <si>
    <t>Európsky fond regionálneho rozvoja</t>
  </si>
  <si>
    <t>Kohézny fond</t>
  </si>
  <si>
    <t>Európsky sociálny fond plus</t>
  </si>
  <si>
    <t>Fond na spravodlivú transformáciu</t>
  </si>
  <si>
    <t>Spolu</t>
  </si>
  <si>
    <t>Menej rozvinuté</t>
  </si>
  <si>
    <t>Viac rozvinuté</t>
  </si>
  <si>
    <t>Celková alokácia politiky súdržnosti</t>
  </si>
  <si>
    <t>Technická pomoc</t>
  </si>
  <si>
    <t>Celková alokácia politiky súdržnosti (bez technickej pomoci)</t>
  </si>
  <si>
    <t>kontrola</t>
  </si>
  <si>
    <t>z toho: IÚI + IÚI-UMR</t>
  </si>
  <si>
    <t>z toho: IÚI-UMR</t>
  </si>
  <si>
    <t>z toho: IÚI</t>
  </si>
  <si>
    <t>z toho: FN</t>
  </si>
  <si>
    <t>z toho: MRK</t>
  </si>
  <si>
    <t>CP1</t>
  </si>
  <si>
    <t>Konkurencieschopnejšia a inteligentnejšia Európa vďaka presadzovaniu inovatívnej a inteligentnej transformácie hospodárstva a regionálnej prepojenosti IKT</t>
  </si>
  <si>
    <t>1P1</t>
  </si>
  <si>
    <t>Veda, výskum a inovácie</t>
  </si>
  <si>
    <t>RSO1.1</t>
  </si>
  <si>
    <t>Rozvoj a rozšírenie výskumných a inovačných kapacít a využívania pokročilých technológií</t>
  </si>
  <si>
    <t>špecifický cieľ RSO1.1</t>
  </si>
  <si>
    <t>1.1.1</t>
  </si>
  <si>
    <t>Podpora medzisektorovej spolupráce v oblasti výskumu, vývoja a inovácií a zvyšovanie výskumných a inovačných kapacít v podnikoch</t>
  </si>
  <si>
    <t>opatrenie 1.1.1</t>
  </si>
  <si>
    <t>MŠVVM SR - spolu</t>
  </si>
  <si>
    <t>G - MŠVVM SR</t>
  </si>
  <si>
    <t>MIRRI SR - spolu</t>
  </si>
  <si>
    <t>G - MIRRI SR</t>
  </si>
  <si>
    <t>IÚI - MIRRI SR</t>
  </si>
  <si>
    <t>IÚI-UMR - MIRRI SR</t>
  </si>
  <si>
    <t>MH SR - spolu</t>
  </si>
  <si>
    <t>G - MH SR</t>
  </si>
  <si>
    <t>FN - MH SR</t>
  </si>
  <si>
    <t>1.1.2</t>
  </si>
  <si>
    <t>Podpora ľudských zdrojov v oblasti výskumu, vývoja a inovácií</t>
  </si>
  <si>
    <t>opatrenie 1.1.2</t>
  </si>
  <si>
    <t>1.1.3</t>
  </si>
  <si>
    <t>Podpora medzinárodnej spolupráce v oblasti výskumu, vývoja a inovácií</t>
  </si>
  <si>
    <t>opatrenie 1.1.3</t>
  </si>
  <si>
    <t>MZ SR - spolu</t>
  </si>
  <si>
    <t>G - MZ SR</t>
  </si>
  <si>
    <t>1.1.4</t>
  </si>
  <si>
    <t>Podpora optimalizácie, rozvoja a modernizácie výskumnej infraštruktúry</t>
  </si>
  <si>
    <t>opatrenie 1.1.4</t>
  </si>
  <si>
    <t>RSO1.2</t>
  </si>
  <si>
    <t>Využívanie prínosov digitalizácie pre občanov, podniky, výskumné organizácie a orgány verejnej správy</t>
  </si>
  <si>
    <t>špecifický cieľ RSO1.2</t>
  </si>
  <si>
    <t>1.2.1</t>
  </si>
  <si>
    <t>Podpora v oblasti informatizácie a digitálnej transformácie</t>
  </si>
  <si>
    <t>opatrenie 1.2.1</t>
  </si>
  <si>
    <t>1.2.2</t>
  </si>
  <si>
    <t>Podpora budovania inteligentných miest a regiónov</t>
  </si>
  <si>
    <t>opatrenie 1.2.2</t>
  </si>
  <si>
    <t>RSO1.3</t>
  </si>
  <si>
    <t>Posilnenie udržateľného rastu a konkurencieschopnosti MSP a tvorby pracovných miest v MSP, a to aj produktívnymi investíciami</t>
  </si>
  <si>
    <t>špecifický cieľ RSO1.3</t>
  </si>
  <si>
    <t>1.3.1</t>
  </si>
  <si>
    <t>Podpora malého a stredného podnikania</t>
  </si>
  <si>
    <t>opatrenie 1.3.1</t>
  </si>
  <si>
    <t>1.3.2</t>
  </si>
  <si>
    <t>Internacionalizácia malého a stredného podnikania</t>
  </si>
  <si>
    <t>opatrenie 1.3.2</t>
  </si>
  <si>
    <t>1.3.3</t>
  </si>
  <si>
    <t>Podpora sieťovania podnikateľských subjektov</t>
  </si>
  <si>
    <t>opatrenie 1.3.3</t>
  </si>
  <si>
    <t>RSO1.4</t>
  </si>
  <si>
    <t>Rozvoj zručností pre inteligentnú špecializáciu, priemyselnú transformáciu a podnikanie</t>
  </si>
  <si>
    <t>špecifický cieľ RSO1.4</t>
  </si>
  <si>
    <t>1.4.1</t>
  </si>
  <si>
    <t>Zručnosti pre posilnenie konkurencieschopnosti a hospodárskeho rastu a budovanie kapacít pre SK RIS3</t>
  </si>
  <si>
    <t>opatrenie 1.4.1</t>
  </si>
  <si>
    <t>1.4.2</t>
  </si>
  <si>
    <t>Digitálne zručnosti prispôsobené doménam RIS3 a potrebám priemyselnej a zelenej transformácie</t>
  </si>
  <si>
    <t>opatrenie 1.4.2</t>
  </si>
  <si>
    <t>1P2</t>
  </si>
  <si>
    <t>Digitálna pripojiteľnosť</t>
  </si>
  <si>
    <t>RSO1.5</t>
  </si>
  <si>
    <t>Zvyšovanie digitálnej pripojiteľnosti</t>
  </si>
  <si>
    <t>špecifický cieľ RSO1.5</t>
  </si>
  <si>
    <t>1.5.1</t>
  </si>
  <si>
    <t>Podpora digitálnej pripojiteľnosti</t>
  </si>
  <si>
    <t>opatrenie 1.5.1</t>
  </si>
  <si>
    <t>1P3</t>
  </si>
  <si>
    <t>Platforma strategických technológií pre Európu (STEP)</t>
  </si>
  <si>
    <t>RSO1.6</t>
  </si>
  <si>
    <t>Podpory investícií, ktoré prispievajú k cieľom Platformy strategických technológií pre Európu uvedeným v článku 2 nariadenia Európskeho parlamentu a Rady (EÚ) 2024/795</t>
  </si>
  <si>
    <t>špecifický cieľ RSO1.6</t>
  </si>
  <si>
    <t>CP2</t>
  </si>
  <si>
    <t>Prechod z ekologickejšieho, nízkouhlíkového hospodárstva na hospodárstvo s nulovou bilanciou uhlíka a odolnú Európu vďaka presadzovaniu čistej a spravodlivej energetickej transformácie, zelených a modrých investícií, obehového hospodárstva, zmierňovania zmeny klímy a adaptácie na ňu, predchádzania rizikám a ich riadenia a udržateľnej mestskej mobility</t>
  </si>
  <si>
    <t>2P1</t>
  </si>
  <si>
    <t>Energetická efektívnosť a dekarbonizácia</t>
  </si>
  <si>
    <t>RSO2.1</t>
  </si>
  <si>
    <t>Podpora energetickej efektívnosti a znižovania emisií skleníkových plynov</t>
  </si>
  <si>
    <t>špecifický cieľ RSO2.1</t>
  </si>
  <si>
    <t>2.1.1</t>
  </si>
  <si>
    <t>Zlepšovanie energetickej efektívnosti v podnikoch</t>
  </si>
  <si>
    <t>opatrenie 2.1.1</t>
  </si>
  <si>
    <t>SIEA - spolu</t>
  </si>
  <si>
    <t>G - SIEA</t>
  </si>
  <si>
    <t>FN - SIEA</t>
  </si>
  <si>
    <t>2.1.2</t>
  </si>
  <si>
    <t>Znižovanie energetickej náročnosti budov</t>
  </si>
  <si>
    <t>opatrenie 2.1.2</t>
  </si>
  <si>
    <t>IÚI - SIEA</t>
  </si>
  <si>
    <t>IÚI-UMR - SIEA</t>
  </si>
  <si>
    <t>MD SR - spolu</t>
  </si>
  <si>
    <t>G - MD SR</t>
  </si>
  <si>
    <t>FN - MD SR</t>
  </si>
  <si>
    <t>2.1.3</t>
  </si>
  <si>
    <t>Podpora rozvoja regionálnej a lokálnej energetiky</t>
  </si>
  <si>
    <t>opatrenie 2.1.3</t>
  </si>
  <si>
    <t>RSO2.2</t>
  </si>
  <si>
    <t>Podpora energie z obnoviteľných zdrojov v súlade so smernicou (EÚ) 2018/2001 vrátane kritérií udržateľnosti, ktoré sú v nej stanovené</t>
  </si>
  <si>
    <t>špecifický cieľ RSO2.2</t>
  </si>
  <si>
    <t>2.2.1</t>
  </si>
  <si>
    <t>Podpora využívania OZE v podnikoch na báze aktívnych odberateľov elektriny, samospotrebiteľov energie z OZE a komunít vyrábajúcich energie z OZE</t>
  </si>
  <si>
    <t>opatrenie 2.2.1</t>
  </si>
  <si>
    <t>2.2.2</t>
  </si>
  <si>
    <t xml:space="preserve">Podpora využívania OZE v systémoch zásobovania energiou </t>
  </si>
  <si>
    <t>opatrenie 2.2.2</t>
  </si>
  <si>
    <t>2.2.3</t>
  </si>
  <si>
    <t>Podpora využívania OZE v domácnostiach (inovácia projektu „Zelená domácnostiam“)</t>
  </si>
  <si>
    <t>opatrenie 2.2.3</t>
  </si>
  <si>
    <t>2.2.4</t>
  </si>
  <si>
    <t>Podpora vyhľadávania a prieskumu zdrojov geotermálnej energie za účelom ich sprístupnenia na energetické účely</t>
  </si>
  <si>
    <t>opatrenie 2.2.4</t>
  </si>
  <si>
    <t>RSO2.3</t>
  </si>
  <si>
    <t>Vývoj inteligentných energetických systémov, sietí a uskladnenia mimo transeurópskej energetickej siete (TEN-E)</t>
  </si>
  <si>
    <t>špecifický cieľ RSO2.3</t>
  </si>
  <si>
    <t>2.3.1</t>
  </si>
  <si>
    <t>Podpora inteligentných energetických systémov vrátane uskladňovania energie</t>
  </si>
  <si>
    <t>opatrenie 2.3.1</t>
  </si>
  <si>
    <t>2P2</t>
  </si>
  <si>
    <t>Životné prostredie</t>
  </si>
  <si>
    <t>RSO2.4</t>
  </si>
  <si>
    <t>Podpora adaptácie na zmenu klímy a prevencie rizika katastrof, ako aj odolnosti, a to s prihliadnutím na ekosystémové prístupy</t>
  </si>
  <si>
    <t>špecifický cieľ RSO2.4</t>
  </si>
  <si>
    <t>2.4.1</t>
  </si>
  <si>
    <t>Vodozádržné opatrenia na adaptáciu na zmenu klímy v sídlach a krajine a /alebo ochranu pred povodňami</t>
  </si>
  <si>
    <t>opatrenie 2.4.1</t>
  </si>
  <si>
    <t>MŽP SR - spolu</t>
  </si>
  <si>
    <t>G - MŽP SR</t>
  </si>
  <si>
    <t>IÚI - MŽP SR</t>
  </si>
  <si>
    <t>IÚI-UMR - MŽP SR</t>
  </si>
  <si>
    <t>2.4.2</t>
  </si>
  <si>
    <t>Hydrogeologický prieskum zameraný na overenie možností vyžívania podzemnej vody v oblastiach ohrozených jej deficitom</t>
  </si>
  <si>
    <t>opatrenie 2.4.2</t>
  </si>
  <si>
    <t>2.4.3</t>
  </si>
  <si>
    <t>Podpora prevencie a manažmentu zosuvných rizík súvisiacich s nadmernou zrážkovou činnosťou</t>
  </si>
  <si>
    <t>opatrenie 2.4.3</t>
  </si>
  <si>
    <t>2.4.4</t>
  </si>
  <si>
    <t>Preventívne opatrenia na ochranu pred povodňami viazané na vodný tok</t>
  </si>
  <si>
    <t>opatrenie 2.4.4</t>
  </si>
  <si>
    <t>2.4.5</t>
  </si>
  <si>
    <t>Vytváranie koncepčných východísk pre realizáciu adaptačných opatrení na národnej, regionálnej a miestnej úrovni</t>
  </si>
  <si>
    <t>opatrenie 2.4.5</t>
  </si>
  <si>
    <t>2.4.6</t>
  </si>
  <si>
    <t>Podpora prevencie a manažmentu rizík vyplývajúcich z porušovania legislatívnych predpisov v životnom prostredí</t>
  </si>
  <si>
    <t>opatrenie 2.4.6</t>
  </si>
  <si>
    <t>2.4.7</t>
  </si>
  <si>
    <t>Identifikácia vývoja rizík, určenie spôsobov prevencie, zavádzanie postupov a opatrení na pripravenosť a reakciu na katastrofy spôsobené zmenou klímy</t>
  </si>
  <si>
    <t>opatrenie 2.4.7</t>
  </si>
  <si>
    <t>MV SR - spolu</t>
  </si>
  <si>
    <t>G - MV SR</t>
  </si>
  <si>
    <t>2.4.8</t>
  </si>
  <si>
    <t xml:space="preserve">Posilnenie a modernizácia intervenčných kapacít a infraštruktúry na zvládanie katastrof </t>
  </si>
  <si>
    <t>opatrenie 2.4.8</t>
  </si>
  <si>
    <t>2.4.9</t>
  </si>
  <si>
    <t>Budovanie a modernizácia systémov včasného varovania a vyrozumievania</t>
  </si>
  <si>
    <t>opatrenie 2.4.9</t>
  </si>
  <si>
    <t>RSO2.5</t>
  </si>
  <si>
    <t>Podpora prístupu k vode a udržateľného vodného hospodárstva</t>
  </si>
  <si>
    <t>špecifický cieľ RSO2.5</t>
  </si>
  <si>
    <t>2.5.1</t>
  </si>
  <si>
    <t>Výstavba stokovej siete a čistiarní odpadových vôd v aglomeráciách nad 2 000 EO v zmysle záväzkov SR voči EÚ</t>
  </si>
  <si>
    <t>opatrenie 2.5.1</t>
  </si>
  <si>
    <t>ÚV SR - spolu</t>
  </si>
  <si>
    <t>MRK - ÚV SR</t>
  </si>
  <si>
    <t>2.5.2</t>
  </si>
  <si>
    <t xml:space="preserve">Podpora infraštruktúry v oblasti nakladania s komunálnymi odpadovými vodami v aglomeráciach do 2 000 EO so zameraním najmä na územia prioritné z environmentálneho hľadiska mimo dobiehajúcich regiónov </t>
  </si>
  <si>
    <t>opatrenie 2.5.2</t>
  </si>
  <si>
    <t>2.5.3</t>
  </si>
  <si>
    <t>Podpora infraštruktúry v oblasti nakladania s komunálnymi odpadovými vodami v aglomeráciách do 2 000 EO v dobiehajúcich regiónoch</t>
  </si>
  <si>
    <t>opatrenie 2.5.3</t>
  </si>
  <si>
    <t>2.5.4</t>
  </si>
  <si>
    <t>Výstavba verejných vodovodov v obciach nad 2000 obyvateľov a v obciach do 2 000 obyvateľov mimo dobiehajúcich regiónov za podmienky súbežnej výstavby alebo existencie infraštruktúry na nakladanie s komunálnymi odpadovými vodami</t>
  </si>
  <si>
    <t>opatrenie 2.5.4</t>
  </si>
  <si>
    <t>2.5.5</t>
  </si>
  <si>
    <t xml:space="preserve">Zabezpečenie prístupu k pitnej vode a nakladania s komunálnymi odpadovými vodami v obciach do 2 000 EO v dobiehajúcich regiónoch </t>
  </si>
  <si>
    <t>opatrenie 2.5.5</t>
  </si>
  <si>
    <t>2.5.6</t>
  </si>
  <si>
    <t>Výstavba, intenzifikácia alebo modernizácia úpravní vôd</t>
  </si>
  <si>
    <t>opatrenie 2.5.6</t>
  </si>
  <si>
    <t>2.5.7</t>
  </si>
  <si>
    <t>Obnova verejnej stokovej siete a čistiarní odpadových vôd v aglomeráciách nad 2 000 EO</t>
  </si>
  <si>
    <t>opatrenie 2.5.7</t>
  </si>
  <si>
    <t>2.5.8</t>
  </si>
  <si>
    <t>Obnova verejných vodovodov v obciach nad 2000 obyvateľov</t>
  </si>
  <si>
    <t>opatrenie 2.5.8</t>
  </si>
  <si>
    <t>2.5.9</t>
  </si>
  <si>
    <t>Komplexné a spoľahlivé monitorovanie a hodnotenie stavu povrchových a podzemných vôd</t>
  </si>
  <si>
    <t>opatrenie 2.5.9</t>
  </si>
  <si>
    <t>2.5.10</t>
  </si>
  <si>
    <t>Podpora (optimalizácia) spracovania dát a informovanosti pre efektívnejšiu vodnú politiku SR</t>
  </si>
  <si>
    <t>opatrenie 2.5.10</t>
  </si>
  <si>
    <t>RSO2.6</t>
  </si>
  <si>
    <t>Podpora prechodu na obehové hospodárstvo, ktoré efektívne využíva zdroje</t>
  </si>
  <si>
    <t>špecifický cieľ RSO2.6</t>
  </si>
  <si>
    <t>2.6.1</t>
  </si>
  <si>
    <t>Podpora vybraných aktivít v oblasti predchádzania vzniku odpadov</t>
  </si>
  <si>
    <t>opatrenie 2.6.1</t>
  </si>
  <si>
    <t>2.6.2</t>
  </si>
  <si>
    <t>Podpora zberu a dobudovania, intenzifikácie a rozšírenia systémov triedeného zberu komunálnych odpadov</t>
  </si>
  <si>
    <t>opatrenie 2.6.2</t>
  </si>
  <si>
    <t>2.6.3</t>
  </si>
  <si>
    <t>Podpora prípravy odpadov na opätovné použitie, recyklácie odpadov vrátane anaeróbneho a aeróbneho spracovania biologicky rozložiteľných odpadov</t>
  </si>
  <si>
    <t>opatrenie 2.6.3</t>
  </si>
  <si>
    <t>FN - MŽP SR</t>
  </si>
  <si>
    <t>2.6.4</t>
  </si>
  <si>
    <t>Podpora zvyšovania environmentálneho povedomia a informovanosti spotrebiteľa a širokej verejnosti o obehovom hospodárstve a podpora koncepčných činností v oblasti obehového hospodárstva</t>
  </si>
  <si>
    <t>opatrenie 2.6.4</t>
  </si>
  <si>
    <t>2.6.5</t>
  </si>
  <si>
    <t>Podpora elektronického zberu dát v oblasti odpadového hospodárstva</t>
  </si>
  <si>
    <t>opatrenie 2.6.5</t>
  </si>
  <si>
    <t>RSO2.7</t>
  </si>
  <si>
    <t>Posilnenie ochrany a zachovania prírody, biodiverzity a zelenej infraštruktúry, a to aj v mestských oblastiach, a zníženia všetkých foriem znečistenia</t>
  </si>
  <si>
    <t>špecifický cieľ RSO2.7</t>
  </si>
  <si>
    <t>2.7.1</t>
  </si>
  <si>
    <t>Vypracovanie a realizácia schválených dokumentov manažmentu osobitne chránených častí prírody a krajiny</t>
  </si>
  <si>
    <t>opatrenie 2.7.1</t>
  </si>
  <si>
    <t>2.7.2</t>
  </si>
  <si>
    <t>Mapovanie a monitoring biotopov a druhov a monitoring cieľov ochrany prírody a biodiverzity</t>
  </si>
  <si>
    <t>opatrenie 2.7.2</t>
  </si>
  <si>
    <t>2.7.3</t>
  </si>
  <si>
    <t>Podpora biologickej a krajinnej diverzity a kvality ekosystémových služieb prostredníctvom udržovania a budovania zelenej a modrej infraštruktúry a prevencie a manažmentu inváznych nepôvodných druhov</t>
  </si>
  <si>
    <t>opatrenie 2.7.3</t>
  </si>
  <si>
    <t>2.7.4</t>
  </si>
  <si>
    <t>Podpora budovania prvkov zelenej a modrej infraštruktúry v obciach a mestách</t>
  </si>
  <si>
    <t>opatrenie 2.7.4</t>
  </si>
  <si>
    <t>2.7.5</t>
  </si>
  <si>
    <t>Zabezpečenie kontinuity vodných tokov a ich revitalizácie za účelom podpory biodiverzity</t>
  </si>
  <si>
    <t>opatrenie 2.7.5</t>
  </si>
  <si>
    <t>2.7.6</t>
  </si>
  <si>
    <t>Podpora environmentálnych centier za účelom zvyšovania environmentálneho povedomia</t>
  </si>
  <si>
    <t>opatrenie 2.7.6</t>
  </si>
  <si>
    <t>2.7.7</t>
  </si>
  <si>
    <t>Zabezpečenie prieskumu, sanácie a monitorovania environmentálnych záťaží</t>
  </si>
  <si>
    <t>opatrenie 2.7.7</t>
  </si>
  <si>
    <t>2.7.8</t>
  </si>
  <si>
    <t>Technické, technologické a ekonomické opatrenia na zníženie emisií znečisťujúcich látok do ovzdušia z veľkých a stredných stacionárnych zdrojov</t>
  </si>
  <si>
    <t>opatrenie 2.7.8</t>
  </si>
  <si>
    <t>2.7.9</t>
  </si>
  <si>
    <t>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</si>
  <si>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opatrenie 2.7.9</t>
  </si>
  <si>
    <t>2.7.10</t>
  </si>
  <si>
    <t>Eliminácia fragmentácie krajiny rozrastania zastavaných plôch prostredníctvom revitalizácie zanedbaných a nevyužívaných území v intravilánoch sídiel</t>
  </si>
  <si>
    <t>opatrenie 2.7.10</t>
  </si>
  <si>
    <t>2P3</t>
  </si>
  <si>
    <t>Udržateľná mestská mobilita</t>
  </si>
  <si>
    <t>RSO2.8</t>
  </si>
  <si>
    <t>Podpora udržateľnej multimodálnej mestskej mobility ako súčasti prechodu na hospodárstvo s nulovou bilanciou uhlíka</t>
  </si>
  <si>
    <t>špecifický cieľ RSO2.8</t>
  </si>
  <si>
    <t>2.8.1</t>
  </si>
  <si>
    <t>Rozvoj verejnej dopravy</t>
  </si>
  <si>
    <t>opatrenie 2.8.1</t>
  </si>
  <si>
    <t>IÚI - MD SR</t>
  </si>
  <si>
    <t>IÚI-UMR - MD SR</t>
  </si>
  <si>
    <t>2.8.2</t>
  </si>
  <si>
    <t>Podpora cyklodopravy</t>
  </si>
  <si>
    <t>opatrenie 2.8.2</t>
  </si>
  <si>
    <t>2.8.3</t>
  </si>
  <si>
    <t>Udržateľná mobilita BSK</t>
  </si>
  <si>
    <t>opatrenie 2.8.3</t>
  </si>
  <si>
    <t>CP3</t>
  </si>
  <si>
    <t>Prepojenejšia Európa vďaka posilneniu mobility</t>
  </si>
  <si>
    <t>3P1</t>
  </si>
  <si>
    <t>Doprava</t>
  </si>
  <si>
    <t>RSO3.1</t>
  </si>
  <si>
    <t>Rozvoj inteligentnej, bezpečnej, udržateľnej a intermodálnej TEN-T odolnej proti zmene klímy</t>
  </si>
  <si>
    <t>špecifický cieľ RSO3.1</t>
  </si>
  <si>
    <t>3.1.1</t>
  </si>
  <si>
    <t>Odstránenie kľúčových úzkych miest na železničnej infraštruktúre prostredníctvom modernizácie a rozvoja hlavných železničných tratí a uzlov</t>
  </si>
  <si>
    <t>opatrenie 3.1.1</t>
  </si>
  <si>
    <t>3.1.2</t>
  </si>
  <si>
    <t>Odstránenie kľúčových úzkych miest na cestnej infraštruktúre prostredníctvom výstavby nových úsekov diaľnic</t>
  </si>
  <si>
    <t>opatrenie 3.1.2</t>
  </si>
  <si>
    <t>3.1.3</t>
  </si>
  <si>
    <t>Zlepšenie kvality služieb poskytovaných na dunajskej a vážskej vodnej ceste</t>
  </si>
  <si>
    <t>opatrenie 3.1.3</t>
  </si>
  <si>
    <t>RSO3.2</t>
  </si>
  <si>
    <t xml:space="preserve">Rozvoj a posilňovanie udržateľnej, inteligentnej a intermodálnej vnútroštátnej, regionálnej a miestnej mobility </t>
  </si>
  <si>
    <t>špecifický cieľ RSO3.2</t>
  </si>
  <si>
    <t>3.2.1</t>
  </si>
  <si>
    <t>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</si>
  <si>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opatrenie 3.2.1</t>
  </si>
  <si>
    <t>3.2.2</t>
  </si>
  <si>
    <t>Odstránenie kľúčových úzkych miest na cestnej infraštruktúre a zlepšenie regionálnej mobility prostredníctvom modernizácie a výstavby ciest I. triedy</t>
  </si>
  <si>
    <t>opatrenie 3.2.2</t>
  </si>
  <si>
    <t>3.2.3</t>
  </si>
  <si>
    <t>Odstránenie kľúčových úzkych miest na cestnej infraštruktúre a zlepšenie regionálnej mobility prostredníctvom modernizácie a výstavby ciest II. a III. triedy</t>
  </si>
  <si>
    <t>opatrenie 3.2.3</t>
  </si>
  <si>
    <t>3.2.4</t>
  </si>
  <si>
    <t>Miestne komunikácie</t>
  </si>
  <si>
    <t>opatrenie 3.2.4</t>
  </si>
  <si>
    <t>CP4</t>
  </si>
  <si>
    <t>Sociálnejšia a inkluzívnejšia Európa vykonávajúca Európsky pilier sociálnych práv</t>
  </si>
  <si>
    <t>4P1</t>
  </si>
  <si>
    <t>Adaptabilný a prístupný trh práce</t>
  </si>
  <si>
    <t>ESO4.1</t>
  </si>
  <si>
    <t>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</si>
  <si>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špecifický cieľ ESO4.1 - SO(a)</t>
  </si>
  <si>
    <t>MPSVR SR - spolu</t>
  </si>
  <si>
    <t>G - MPSVR SR</t>
  </si>
  <si>
    <t>MRK - MPSVR SR</t>
  </si>
  <si>
    <t>ESO4.2</t>
  </si>
  <si>
    <t>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</si>
  <si>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špecifický cieľ ESO4.2 - SO(b)</t>
  </si>
  <si>
    <t>ESO4.3</t>
  </si>
  <si>
    <t>Podpora rodovo vyváženej účasti na trhu práce, rovnakých pracovných podmienok a lepšej rovnováhy medzi pracovným a súkromným životom vrátane prístupu k cenovo dostupnej starostlivosti o deti a odkázané osoby</t>
  </si>
  <si>
    <t>špecifický cieľ ESO4.3 - SO(c)</t>
  </si>
  <si>
    <t>ESO4.4</t>
  </si>
  <si>
    <t>Podpora adaptácie pracovníkov, podnikov a podnikateľov na zmeny, ako aj aktívneho a zdravého starnutia a zdravého a vhodne prispôsobeného pracovného prostredia, ktoré rieši zdravotné riziká</t>
  </si>
  <si>
    <t>špecifický cieľ ESO4.4 - SO(d)</t>
  </si>
  <si>
    <t>RSO4.1</t>
  </si>
  <si>
    <t>Zvyšovanie účinnosti a inkluzívnosti trhov práce a prístupu ku kvalitnému zamestnaniu rozvíjaním sociálnej infraštruktúry a podporou sociálneho hospodárstva</t>
  </si>
  <si>
    <t>špecifický cieľ RSO4.1</t>
  </si>
  <si>
    <t>IÚI - MPSVR SR</t>
  </si>
  <si>
    <t>IÚI-UMR - MPSVR SR</t>
  </si>
  <si>
    <t>FN - MPSVR SR</t>
  </si>
  <si>
    <t>4P2</t>
  </si>
  <si>
    <t>Kvalitné a inkluzívne vzdelávanie</t>
  </si>
  <si>
    <t>ESO4.5</t>
  </si>
  <si>
    <t>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</si>
  <si>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špecifický cieľ ESO4.5 - SO(e)</t>
  </si>
  <si>
    <t>ESO4.6</t>
  </si>
  <si>
    <t>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</si>
  <si>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špecifický cieľ ESO4.6 - SO(f)</t>
  </si>
  <si>
    <t>MRK - MŠVVM SR</t>
  </si>
  <si>
    <t>RSO4.2</t>
  </si>
  <si>
    <t>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</si>
  <si>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špecifický cieľ RSO4.2</t>
  </si>
  <si>
    <t>4P3</t>
  </si>
  <si>
    <t>Zručnosti pre lepšiu adaptabilitu a inklúziu</t>
  </si>
  <si>
    <t>ESO4.7</t>
  </si>
  <si>
    <t>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</si>
  <si>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špecifický cieľ ESO4.7 - SO(g)</t>
  </si>
  <si>
    <t>4P4</t>
  </si>
  <si>
    <t>Záruka pre mladých</t>
  </si>
  <si>
    <t>ESO4.12</t>
  </si>
  <si>
    <t>Podpora sociálnej integrácie osôb ohrozených chudobou alebo sociálnym vylúčením vrátane najodkázanejších osôb a detí</t>
  </si>
  <si>
    <t>špecifický cieľ ESO4.12 - SO(l)</t>
  </si>
  <si>
    <t>4P5</t>
  </si>
  <si>
    <t>Aktívne začlenenie a dostupné služby</t>
  </si>
  <si>
    <t>ESO4.8</t>
  </si>
  <si>
    <t>Podpora aktívneho začlenenia s cieľom podporovať rovnosť príležitostí, nediskrimináciu a aktívnu účasť a zlepšenie zamestnateľnosti, najmä v prípade znevýhodnených skupín</t>
  </si>
  <si>
    <t>špecifický cieľ ESO4.8 - SO(h)</t>
  </si>
  <si>
    <t>ESO4.9</t>
  </si>
  <si>
    <t>Podpora sociálno-ekonomickej integrácie štátnych príslušníkov tretích krajín vrátane migrantov</t>
  </si>
  <si>
    <t>špecifický cieľ ESO4.9 - SO(i)</t>
  </si>
  <si>
    <t>ESO4.11</t>
  </si>
  <si>
    <t>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</si>
  <si>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špecifický cieľ ESO4.11 - SO(k)</t>
  </si>
  <si>
    <t>MRK - MZ SR</t>
  </si>
  <si>
    <t>RSO4.3</t>
  </si>
  <si>
    <t>Podpora sociálno-ekonomického začlenenia marginalizovaných komunít, domácností s nízkym príjmom a znevýhodnených skupín vrátane osôb s osobitnými potrebami prostredníctvom integrovaných akcií vrátane bývania a sociálnych služieb</t>
  </si>
  <si>
    <t>špecifický cieľ RSO4.3</t>
  </si>
  <si>
    <t>RSO4.5</t>
  </si>
  <si>
    <t>Zabezpečenia rovného prístupu k zdravotnej starostlivosti a zvýšením odolnosti systémov zdravotnej starostlivosti vrátane primárnej starostlivosti, a podpory prechodu z inštitucionálnej starostlivosti na rodinnú a komunitnú starostlivosť</t>
  </si>
  <si>
    <t>špecifický cieľ RSO4.5</t>
  </si>
  <si>
    <t>IÚI - MZ SR</t>
  </si>
  <si>
    <t>IÚI-UMR - MZ SR</t>
  </si>
  <si>
    <t>RSO4.6</t>
  </si>
  <si>
    <t>Posilnenie úlohy kultúry a udržateľného cestovného ruchu v oblasti hospodárskeho rozvoja, sociálneho začlenenia a sociálnej inovácie</t>
  </si>
  <si>
    <t>špecifický cieľ RSO4.6</t>
  </si>
  <si>
    <t>4P6</t>
  </si>
  <si>
    <t>Aktívne začlenenie rómskych komunít</t>
  </si>
  <si>
    <t>ESO4.10</t>
  </si>
  <si>
    <t>Podpora sociálno-ekonomickej integrácie marginalizovaných komunít, ako sú napríklad Rómovia</t>
  </si>
  <si>
    <t>špecifický cieľ ESO4.10 - SO(j)</t>
  </si>
  <si>
    <t>G - ÚV SR</t>
  </si>
  <si>
    <t>4P7</t>
  </si>
  <si>
    <t>Sociálne inovácie a experimenty</t>
  </si>
  <si>
    <t>4P8</t>
  </si>
  <si>
    <t>Potravinová a materiálna deprivácia</t>
  </si>
  <si>
    <t>ESO4.13</t>
  </si>
  <si>
    <t>Riešenie materiálnej deprivácie prostredníctvom potravinovej a/alebo základnej materiálnej pomoci pre najodkázanejšie osoby vrátane detí a zabezpečenie sprievodných opatrení podporujúcich ich sociálne začlenenie</t>
  </si>
  <si>
    <t>špecifický cieľ ESO4.13 - SO(m)</t>
  </si>
  <si>
    <t>CP5</t>
  </si>
  <si>
    <t>Európa bližšie k občanom vďaka podpore udržateľného a integrovaného rozvoja všetkých typov území a miestnych iniciatív</t>
  </si>
  <si>
    <t>5P1</t>
  </si>
  <si>
    <t>Moderné regióny</t>
  </si>
  <si>
    <t>RSO5.1</t>
  </si>
  <si>
    <t>Podpora integrovaného a inkluzívneho sociálneho, hospodárskeho a environmentálneho rozvoja, kultúry, prírodného dedičstva, udržateľného cestovného ruchu a bezpečnosti v mestských oblastiach</t>
  </si>
  <si>
    <t>špecifický cieľ RSO5.1</t>
  </si>
  <si>
    <t>5.1.1</t>
  </si>
  <si>
    <t>Investície do rozvoja administratívnych a analyticko-strategických kapacít miestnych a regionálnych samospráv a mimovládnych neziskových organizácií pôsobiacich v komunite alebo partnerov pôsobiacich v komunite</t>
  </si>
  <si>
    <t>opatrenie 5.1.1</t>
  </si>
  <si>
    <t>5.1.2</t>
  </si>
  <si>
    <t>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</si>
  <si>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opatrenie 5.1.2</t>
  </si>
  <si>
    <t>5.1.3</t>
  </si>
  <si>
    <t>Investície do bezpečného fyzického prostredia obcí, miest a regiónov</t>
  </si>
  <si>
    <t>opatrenie 5.1.3</t>
  </si>
  <si>
    <t>5.1.4</t>
  </si>
  <si>
    <t>Investície do regionálnej a miestnej infraštruktúry pre pohybové aktivity, cykloturistiku</t>
  </si>
  <si>
    <t>opatrenie 5.1.4</t>
  </si>
  <si>
    <t>5.1.5</t>
  </si>
  <si>
    <t>Investície do kultúrneho a prírodného dedičstva, miestnej a regionálnej kultúry, manažmentu, služieb a infraštruktúry podporujúcich komunitný rozvoj a udržateľný cestovný ruch</t>
  </si>
  <si>
    <t>opatrenie 5.1.5</t>
  </si>
  <si>
    <t>5.1.6</t>
  </si>
  <si>
    <t>Európske hlavné mesto kultúry 2026</t>
  </si>
  <si>
    <t>opatrenie 5.1.6</t>
  </si>
  <si>
    <t>RSO5.2</t>
  </si>
  <si>
    <t>Podpora integrovaného a inkluzívneho sociálneho, hospodárskeho a environmentálneho miestneho rozvoja, kultúry, prírodného dedičstva, udržateľného cestovného ruchu a bezpečnosti v iných ako mestských oblastiach</t>
  </si>
  <si>
    <t>špecifický cieľ RSO5.2</t>
  </si>
  <si>
    <t>5.2.1</t>
  </si>
  <si>
    <t>opatrenie 5.2.1</t>
  </si>
  <si>
    <t>5.2.2</t>
  </si>
  <si>
    <t>opatrenie 5.2.2</t>
  </si>
  <si>
    <t>5.2.3</t>
  </si>
  <si>
    <t>opatrenie 5.2.3</t>
  </si>
  <si>
    <t>5.2.4</t>
  </si>
  <si>
    <t>opatrenie 5.2.4</t>
  </si>
  <si>
    <t>5.2.5</t>
  </si>
  <si>
    <t>opatrenie 5.2.5</t>
  </si>
  <si>
    <t>FST</t>
  </si>
  <si>
    <t>8P1</t>
  </si>
  <si>
    <t>JSO8.1</t>
  </si>
  <si>
    <t>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</si>
  <si>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>špecifický cieľ JSO8.1</t>
  </si>
  <si>
    <t>8.1.1</t>
  </si>
  <si>
    <t xml:space="preserve">Podpora podnikania, rozvoj malých a stredných podnikov a tvorba udržateľných pracovných miest </t>
  </si>
  <si>
    <t>opatrenie 8.1.1</t>
  </si>
  <si>
    <t>8.1.2</t>
  </si>
  <si>
    <t xml:space="preserve">Podpora výskumu, vývoja a inovácií </t>
  </si>
  <si>
    <t>opatrenie 8.1.2</t>
  </si>
  <si>
    <t>8.1.3</t>
  </si>
  <si>
    <t>Podpora pre veľké podniky (relevantné pre región Horná Nitra a Košický kraj)</t>
  </si>
  <si>
    <t>opatrenie 8.1.3</t>
  </si>
  <si>
    <t>8.2.1</t>
  </si>
  <si>
    <t>opatrenie 8.2.1</t>
  </si>
  <si>
    <t>8.2.2</t>
  </si>
  <si>
    <t>Revitalizácia a rekonverzia priemyselných území</t>
  </si>
  <si>
    <t>opatrenie 8.2.2</t>
  </si>
  <si>
    <t>8.2.3</t>
  </si>
  <si>
    <t>Podpora udržateľnej miestnej dopravy</t>
  </si>
  <si>
    <t>opatrenie 8.2.3</t>
  </si>
  <si>
    <t>8.3.1</t>
  </si>
  <si>
    <t>Podpora vzdelávania, odbornej prípravy, zručností a rekvalifikácie</t>
  </si>
  <si>
    <t>opatrenie 8.3.1</t>
  </si>
  <si>
    <t>8.3.2</t>
  </si>
  <si>
    <t>Podpora mladých v procese transformácie</t>
  </si>
  <si>
    <t>opatrenie 8.3.2</t>
  </si>
  <si>
    <t>TEP</t>
  </si>
  <si>
    <t>7P1</t>
  </si>
  <si>
    <t>Technická pomoc EFRR</t>
  </si>
  <si>
    <t>MIRRI SR</t>
  </si>
  <si>
    <t>TSO7.1</t>
  </si>
  <si>
    <t>7.1.1</t>
  </si>
  <si>
    <t>7P2</t>
  </si>
  <si>
    <t>Technická pomoc Kohézny fond</t>
  </si>
  <si>
    <t>TSO7.2</t>
  </si>
  <si>
    <t>7.2.1</t>
  </si>
  <si>
    <t>7P3</t>
  </si>
  <si>
    <t>Technická pomoc ESF+</t>
  </si>
  <si>
    <t>TSO7.3</t>
  </si>
  <si>
    <t>7.3.1</t>
  </si>
  <si>
    <t>7P4</t>
  </si>
  <si>
    <t>Technická pomoc FST</t>
  </si>
  <si>
    <t>TSO7.4</t>
  </si>
  <si>
    <t>7.4.1</t>
  </si>
  <si>
    <t>G - granty (dopytovo-orientované projekty / národné projekty v pôsobnosti rezortov bez MRK alokácie)</t>
  </si>
  <si>
    <t>IÚI - integrované územné investície</t>
  </si>
  <si>
    <t>UMR - udržateľný mestský rozvoj</t>
  </si>
  <si>
    <t>FN - finančné nástroje</t>
  </si>
  <si>
    <t>MRK - marginalizované rómske komunity</t>
  </si>
  <si>
    <t>Pozn.:</t>
  </si>
  <si>
    <t>Verzia 1.1: Zmena v porovnaní s verziou z 22.11.2022 - v opatrení 8.1.1 gescia časti FN vo výške 39 915 600 EUR prešla z MIRRI SR na MH SR</t>
  </si>
  <si>
    <t>Verzia 1.2: Zmena v porovnaní s verziou z 12.12.2022 - v opatrení 8.2.1 gescia časti FN vo výške 25 500 000 EUR prešla z MIRRI SR na SIEA (súlad s verziou Finančného plánu Programu Slovensko, verziou 1.1 účinnou od 18.05.2023)</t>
  </si>
  <si>
    <t>Verzia 1.3: Zmena v porovnaní s verziou z 18.05.2023 (schválené MV 29.09.2023):</t>
  </si>
  <si>
    <t>: v opatrení 1.4.1 gescia časti G-MIRRI SR (MRR) vo výške 5 000 000 EUR prešla z MIRRI SR do IÚI-MIRRI SR</t>
  </si>
  <si>
    <t>: v opatrení 2.5.3 gescia časti G-MIRRI SR (MRR) vo výške 5 000 000 EUR prešla z MIRRI SR do IÚI-MIRRI SR</t>
  </si>
  <si>
    <t>: v opatrení 2.7.4 gescia časti G-MIRRI SR (MRR) vo výške 9 256 000 EUR prešla z MIRRI SR do IÚI-MIRRI SR</t>
  </si>
  <si>
    <t>: v opatrení 2.8.2 gescia časti G-MIRRI SR (MRR) vo výške 20 000 000 EUR prešla z MIRRI SR do IÚI-MIRRI SR</t>
  </si>
  <si>
    <t>: v opatrení 3.2.4 gescia časti G-MIRRI SR (MRR) vo výške 7 000 000 EUR prešla z MIRRI SR do IÚI-MIRRI SR</t>
  </si>
  <si>
    <t>: v špecifickom cieli RSO4.2 (4P2) gescia časti G-MIRRI SR (MRR) vo výške 44 889 885 EUR a G-MIRRI SR (VRR) vo výške 10 003 665 EUR prešla z MIRRI SR do IÚI-MIRRI SR</t>
  </si>
  <si>
    <t>: v špecifickom cieli RSO4.3 (4P5) gescia časti G-MIRRI SR (MRR) vo výške 12 624 650 EUR prešla z MIRRI SR do IÚI-MIRRI SR</t>
  </si>
  <si>
    <t>: v opatrení 5.1.1 gescia časti G-MIRRI SR (MRR) vo výške 2 810 000 EUR prešla z MIRRI SR do UMR-MIRRI SR</t>
  </si>
  <si>
    <t>: v opatrení 5.1.2 gescia časti G-MIRRI SR (MRR) vo výške 5 000 000 EUR prešla z MIRRI SR do UMR-MIRRI SR</t>
  </si>
  <si>
    <t>: v opatrení 5.1.4 gescia časti G-MIRRI SR (MRR) vo výške 3 127 800 EUR prešla z MIRRI SR do UMR-MIRRI SR</t>
  </si>
  <si>
    <t>: v opatrení 5.1.5A gescia časti G-MIRRI SR (MRR) vo výške 16 044 364 EUR prešla z MIRRI SR do UMR-MIRRI SR</t>
  </si>
  <si>
    <t>: v opatrení 5.1.5B gescia časti G-MIRRI SR (MRR) vo výške 14 999 996 EUR prešla z MIRRI SR do UMR-MIRRI SR</t>
  </si>
  <si>
    <t>: v opatrení 5.2.1 gescia časti G-MIRRI SR (MRR) vo výške 3 850 000 EUR prešla z MIRRI SR do IÚI-MIRRI SR</t>
  </si>
  <si>
    <t>: v opatrení 5.2.2 gescia časti G-MIRRI SR (MRR) vo výške 11 498 200 EUR prešla z MIRRI SR do IÚI-MIRRI SR</t>
  </si>
  <si>
    <t>: v opatrení 5.2.4 gescia časti G-MIRRI SR (MRR) vo výške 14 237 010 EUR prešla z MIRRI SR do IÚI-MIRRI SR</t>
  </si>
  <si>
    <t>: v opatrení 5.2.5A gescia časti G-MIRRI SR (MRR) vo výške 23 051 276 EUR prešla z MIRRI SR do IÚI-MIRRI SR</t>
  </si>
  <si>
    <t>: v opatrení 5.2.5B gescia časti G-MIRRI SR (MRR) vo výške 5 000 000 EUR prešla z MIRRI SR do IÚI-MIRRI SR</t>
  </si>
  <si>
    <t xml:space="preserve">Verzia 1.4: Zmena v porovnaní s verziou 1.3 z 29.09.2023 - presun alokácie medzi opatreniami 1.4.2 a 1.2.2 (schválené MV 26.10.2023): </t>
  </si>
  <si>
    <t>: v opatrení 1.2.2 sa alokácia G-MIRRI SR (VRR) zvýšila o 1 300 000 EUR (z 0 EUR na 1 300 000 EUR)</t>
  </si>
  <si>
    <t>: v opatrení 1.2.2 sa alokácia G-MIRRI SR (MRR) znížila o 1 300 000 EUR (zo 41 300 000 EUR na 40 000 000 EUR)</t>
  </si>
  <si>
    <t>: v opatrení 1.4.2 sa alokácia G-MIRRI SR (VRR) znížila o 1 300 000 EUR (z 8 000 000 EUR na 6 700 000 EUR)</t>
  </si>
  <si>
    <t>: v opatrení 1.4.2 sa alokácia G-MIRRI SR (MRR) zvýšila o 1 300 000 EUR (z 22 000 000 EUR na 23 300 000 EUR)</t>
  </si>
  <si>
    <t xml:space="preserve">Verzia 1.5: Zmena v porovnaní s verziou 1.4 z 26.10.2023 - presun alokácie v opatrení 2.1.2 z G-SIEA do IÚI-SEIA a UMR-SIEA v celkovej výške 20 000 000 EUR (schválené MV 30.11.2023): </t>
  </si>
  <si>
    <t>: v opatrení 2.1.2 gescia časti G-SIEA (MRR) vo výške 9 574 134 EUR prešla zo SIEA do IÚI-SIEA (schválenie MV dňa 30.11.2023)</t>
  </si>
  <si>
    <t>: v opatrení 2.1.2 gescia časti G-SIEA (MRR) vo výške 6 589 480 EUR prešla zo SIEA do UMR-SIEA (schválenie MV dňa 30.11.2023)</t>
  </si>
  <si>
    <t>: v opatrení 2.1.2 gescia časti G-SIEA (VRR) vo výške 3 255 303 EUR prešla zo SIEA do IÚI-SIEA (schválenie MV dňa 30.11.2023)</t>
  </si>
  <si>
    <t>: v opatrení 2.1.2 gescia časti G-SIEA (VRR) vo výške 581 083 EUR prešla zo SIEA do UMR-SIEA (schválenie MV dňa 30.11.2023)</t>
  </si>
  <si>
    <t>Verzia 1.6: Zmena v porovnaní s verziou 1.5 z 30.11.2023 - presun alokácie medzi opatreniami 5.2.5.A a 5.1.5.A a presun alokácie medzi opatreniami 5.2.4 a 5.1.4 (schválené MV 15.03.2024):</t>
  </si>
  <si>
    <t>: v opatrení 5.2.5.A sa alokácia IÚI-MIRRI SR (MRR) znížila o 1 027 409 EUR  (z 117 544 000 EUR na 116 516 591 EUR)</t>
  </si>
  <si>
    <t>: v opatrení 5.1.5.A sa alokácia UMR-MIRRI SR (MRR) zvýšila o 1 027 409 EUR (z 71 044 364 EUR na 72 071 773 EUR)</t>
  </si>
  <si>
    <t>: v opatrení 5.2.4 sa alokácia IÚI-MIRRI SR (MRR) znížila o 1 883 276 EUR  (z 39 300 000 EUR na 37 416 724 EUR)</t>
  </si>
  <si>
    <t>: v opatrení 5.1.4 sa alokácia UMR-MIRRI SR (MRR) zvýšila o 1 883 276 EUR  (z 20 916 000 EUR na 22 799 276 EUR)</t>
  </si>
  <si>
    <t>Verzia 1.6: Zmena v porovnaní s verziou 1.5 z 30.11.2023 - presun alokácie MRR a VRR medzi gesciou G-MZ SR a MRK-MZ SR v priorite 4P5, špecifikom cieli ESO4.11 (v nadväznosti na výzvu PSK-MZ-001-2023-NP-ESF+):</t>
  </si>
  <si>
    <t>: v priorite 4P5, špecifickom cieli ESO4.11 gescia časti G-MZ SR (MRR) sa alokácia zvýšila o 749 969 EUR (z 29 954 955 EUR na 30 704 924 EUR)</t>
  </si>
  <si>
    <t>: v priorite 4P5, špecifickom cieli ESO4.11 gescia časti G-MZ SR (VRR) sa alokácia znížila o 749 969 EUR (z 2 191 690 EUR na 1 441 721 EUR)</t>
  </si>
  <si>
    <t>: v priorite 4P5, špecifickom cieli ESO4.11 gescia časti MRK-MZ SR (MRR) sa alokácia znížila o 749 969 EUR (z 55 000 000 EUR na 54 250 031 EUR)</t>
  </si>
  <si>
    <t>: v priorite 4P5, špecifickom cieli ESO4.11 gescia časti MRK-MZ SR (VRR) sa alokácia zvýšila o 749 969 EUR (z 0 EUR na 749 969 EUR)</t>
  </si>
  <si>
    <t xml:space="preserve">Verzia 1.7: Zmena v porovnaní s verziou 1.6 z 15.03.2024 - presun alokácie v priorite 4P2, špecifickom cieli RSO4.2 z G-MIRRI SR do IÚI-MIRRI SR v celkovej výške 50 000 000 EUR (schválené MV 23.04.2024): </t>
  </si>
  <si>
    <t>: v priorite 4P2, špecifickom cieli RSO4.2 gescia časti G-MIRRI SR (MRR) vo výške 50 000 000 EUR prešla z MIRRI SR do IÚI-MIRRI SR (MRR) vo výške 33 965 275 EUR a do UMR-MIRRI SR (MRR) vo výške 16 034 725 EUR</t>
  </si>
  <si>
    <t>Verzia 1.7: Zmena v porovnaní s verziou 1.6 z 15.03.2024 - zlúčenie opatrení 5.1.5.A/5.2.5.A a 5.1.5.B/5.2.5.B do opatrenia 5.1.5/5.2.5</t>
  </si>
  <si>
    <t>Verzia 1.8: Zmena v porovnaní s verziou 1.7 z 24.03.2024 - presun alokácie z priority 4P1, špecifického cieľa ESO4.1 a priority 4P3, špecifického cieľa ESO.4.7 do priority 4P6, špecifického cieľa ESO4.10 (schválené MV 17.6.2024):</t>
  </si>
  <si>
    <t>: v priorite 4P1, špecifickom cieli ESO4.1 gescia časti MRK-MPSVR SR (MRR) sa alokácia znížila o 19 500 000 EUR (z 140 000 000 EUR na 120 500 000 EUR, alokácia špecifického cieľa ESO4.1 spolu z 409 525 044 EUR na 390 025 044 EUR)</t>
  </si>
  <si>
    <t>: v priorite 4P3, špecifickom cieli ESO4.7 gescia časti MRK-MŠVVM SR (MRR) sa alokácia znížila o 12 500 000 EUR (z 12 500 000 EUR na 0 EUR, alokácia špecifického cieľa ESO4.7 spolu z 83 711 000 EUR na 71 211 000 EUR)</t>
  </si>
  <si>
    <t>: v priorite 4P6, špecifickom cieli ESO4.10 gescia časti MRK-ÚV SR (MRR) sa alokácia zvýšila o 32 000 000 EUR (z 167 000 000 EUR na 199 000 000 EUR, alokácia špecifického cieľa ESO4.10 spolu z 167 000 000 EUR na 199 000 000 EUR)</t>
  </si>
  <si>
    <t>Verzia 1.8: Zmena v porovnaní s verziou 1.7 z 24.03.2024 - presun alokácie v gescii časti MRK-ÚV SR v priorite 2P2, v špecifickom cieli RSO2.6 (schválené MV 17.6.2024):</t>
  </si>
  <si>
    <t>: v priorite 2P2, špecifickom cieli RSO2.6, opatrení 2.6.1 gescia časti MRK-ÚV SR (MRR) sa alokácia znížila o 5 000 000 EUR (z 5 000 000 EUR na 0 EUR)</t>
  </si>
  <si>
    <t>: v priorite 2P2, špecifickom cieli RSO2.6, opatrení 2.6.2 gescia časti MRK-ÚV SR (MRR) sa alokácia zvýšila o 11 000 000 EUR (z 7 000 000 EUR na 18 000 000 EUR)</t>
  </si>
  <si>
    <t>: v priorite 2P2, špecifickom cieli RSO2.6, opatrení 2.6.3 gescia časti MRK-ÚV SR (MRR) sa alokácia znížila o 6 000 000 EUR (z 6 000 000 EUR na 0 EUR)</t>
  </si>
  <si>
    <t>Verzia 1.8: Zmena v porovnaní s verziou 1.7 z 24.03.2024 - presun alokácie v gescii časti MRK-ÚV SR v priorite 3P1, v špecifickom cieli RSO3.2 (schválené MV 17.6.2024):</t>
  </si>
  <si>
    <t>: v priorite 3P1, špecifickom cieli RSO3.2, opatrení 3.2.3 gescia časti MRK-ÚV SR (MRR) sa alokácia znížila o 20 500 000 EUR (z 20 500 000 EUR na 0 EUR)</t>
  </si>
  <si>
    <t>: v priorite 3P1, špecifickom cieli RSO3.2, opatrení 3.2.4 gescia časti MRK-ÚV SR (MRR) sa alokácia zvýšila o 20 500 000 EUR (z 10 000 000 EUR na 30 500 000 EUR)</t>
  </si>
  <si>
    <t>Verzia 1.9: Zmena v porovnaní s verziou 1.8 z 17.06.2024 - presun alokácie ESF+ z priority 4P1, špecifického cieľa ESO4.3, z priority 4P2, špecifického cieľa ESO4.5, z priority 4P3, špecifického cieľa ESO4.7 a z priority 4P5, špecifického cieľa ESO4.11 do priority 4P5, špecifického cieľa ESO4.9 (schválené MV per rollam 22.07.2024):</t>
  </si>
  <si>
    <t>: v priorite 4P1, špecifickom cieli ESO4.3, gescia časti G-MPSVR SR (MRR) sa alokácia znížila o 20 500 000 EUR (z 55 092 000 EUR na 34 592 000 EUR)</t>
  </si>
  <si>
    <t>: v priorite 4P2, špecifickom cieli ESO4.5, gescia časti G-MŠVVM SR (MRR) sa alokácia znížila o 3 779 320 EUR (z 139 953 312 EUR na 136 173 992 EUR)</t>
  </si>
  <si>
    <t>: v priorite 4P3, špecifickom cieli ESO4.7, gescia časti G-MŠVVM SR (MRR) sa alokácia znížila o 3 501 680 EUR (z 71 211 000 EUR na 67 709 320 EUR)</t>
  </si>
  <si>
    <t>: v priorite 4P5, špecifickom cieli ESO4.11, gescia časti G-MZ SR (MRR) sa alokácia znížila o 1 428 000 EUR (z 30 7041 924 EUR na 29 276 924 EUR, alokácia v gescii MZ SR spolu sa znížila z 84 954 955 EUR na 83 526 955 EUR a alokácia špecifického cieľa ESO4.11 spolu z 226 507 000 EUR na 225 079 000 EUR</t>
  </si>
  <si>
    <t>: v priorite 4P5, špecifickom cieli ESO4.9, gescia časti G-MPSVR SR (MRR) sa alokácia zvýšila o 29 209 000 EUR (z 16 360 000 EUR na 45 569 000 EUR)</t>
  </si>
  <si>
    <t>Verzia 1.10: Zmena v porovnaní s verziou 1.9 z 27.08.2024 - presun ESF+ alokácie z priority 4P2, špecifického cieľa ESO4.5 do priority 4P5, špecifického cieľa ESO4.9 (schválené MV 14.10.2024):</t>
  </si>
  <si>
    <t>: v priorite 4P2, špecifickom cieli ESO4.5, gescia časti G-MŠVVM SR (MRR) sa alokácia znížila o 14 852 000 EUR (z 136 173 992 EUR na 121 321 992 EUR)</t>
  </si>
  <si>
    <t>: v priorite 4P5, špecifickom cieli ESO4.9, gescia časti G-MPSVR SR (MRR) sa alokácia zvýšila o 14 852 000 EUR (z 45 569 000 EUR na 60 421 000 EUR)</t>
  </si>
  <si>
    <t>Verzia 1.10: Zmena v porovnaní s verziou 1.9 z 27.08.2024 - zmena gescie opatrenia 2.7.10 (účinnosť novely zákona č. 575/2001 Z. z. od 01.09.2024):</t>
  </si>
  <si>
    <t>: v priorite 2P2, špecifickom cieli RSO2.7, opatrení 2.7.10 - zmena gescie časti G-MD SR (EFRR - MRR a VRR a KF) na G-MIRRI SR (novela zákona č. 575/2001 Z. z. v znení neskorších predpisov s účinnosťou od 1.9.2024)</t>
  </si>
  <si>
    <t>Verzia 1.10: Zmena v porovnaní s verziou 1.9 z 27.08.2024 - presun alokácie IÚI v rámci opatrenia 2.7.4 (schválené MV 14.10.2024):</t>
  </si>
  <si>
    <t>: priorite 2P2, špecifickom cieli RSO2.7, v opatrení 2.7.4 sa alokácia IÚI-MIRRI SR (MRR) znížila o 935 000 EUR (z 19 490 400 EUR na 18 555 400 EUR)</t>
  </si>
  <si>
    <t>: priorite 2P2, špecifickom cieli RSO2.7, v opatrení 2.7.4 sa alokácia IÚI-UMR-MIRRI SR (MRR) zvýšila o 935 000 EUR (z 51 748 710 EUR na 52 683 710 EUR)</t>
  </si>
  <si>
    <t>Verzia 1.10: Zmena v porovnaní s verziou 1.9 z 27.08.2024 - presuny alokácií IÚI a IÚI-UMR v rámci celého programu (schválené MV 14.10.2024):</t>
  </si>
  <si>
    <t>: priorite 1P1, špecifickom cieli RSO1.1, v opatrení 1.1.1 sa alokácia IÚI-MIRRI SR (MRR) znížila o 11 643 673 EUR (z 57 000 000 EUR na 45 356 327 EUR)</t>
  </si>
  <si>
    <t>: priorite 1P1, špecifickom cieli RSO1.1, v opatrení 1.1.1 sa alokácia IÚI-UMR-MIRRI SR (MRR) znížila o 7 242 151 EUR (z 23 000 000 EUR na 15 757 849 EUR)</t>
  </si>
  <si>
    <t>: priorite 1P1, špecifickom cieli RSO1.2, v opatrení 1.2.2 sa alokácia IÚI-MIRRI SR (VRR) znížila o 1 200 000 EUR (z 1 500 000 EUR na 300 000 EUR)</t>
  </si>
  <si>
    <t>: priorite 1P1, špecifickom cieli RSO1.2, v opatrení 1.2.2 sa alokácia IÚI-MIRRI SR (MRR) znížila o 1 856 839 EUR (z 14 000 000 EUR na 12 143 161 EUR)</t>
  </si>
  <si>
    <t>: priorite 1P1, špecifickom cieli RSO1.2, v opatrení 1.2.2 sa alokácia IÚI-UMR-MIRRI SR (MRR) zvýšila o 7 296 705 EUR (z 45 000 000 EUR na 52 296 705 EUR)</t>
  </si>
  <si>
    <t>: priorite 1P1, špecifickom cieli RSO1.4, v opatrení 1.4.1 sa alokácia IÚI-UMR-MIRRI SR (MRR) znížila o 54 554 EUR (z 100 000 EUR na 45 446 EUR)</t>
  </si>
  <si>
    <t>: priorite 1P1, špecifickom cieli RSO1.4, v opatrení 1.4.1 sa alokácia IÚI-MIRRI SR (VRR) zvýšila o 1 200 000 EUR (z 10 000 000 EUR na 11 200 000 EUR)</t>
  </si>
  <si>
    <t>: priorite 1P1, špecifickom cieli RSO1.4, v opatrení 1.4.1 sa alokácia IÚI-MIRRI SR (MRR) zvýšila o 13 500 512 EUR (z 29 900 000 EUR na 43 400 512 EUR)</t>
  </si>
  <si>
    <t>: priorite 2P1, špecifickom cieli RSO2.1, v opatrení 2.1.2 sa alokácia IÚI-SIEA (VRR) zvýšila o 7 000 000 EUR (z 19 824 936 EUR na 26 824 936 EUR)</t>
  </si>
  <si>
    <t>: priorite 2P1, špecifickom cieli RSO2.1, v opatrení 2.1.2 sa alokácia IÚI-SIEA (MRR) zvýšila o 4 871 577 EUR (z 58 306 904 EUR na 63 178 481 EUR)</t>
  </si>
  <si>
    <t>: priorite 2P1, špecifickom cieli RSO2.2, v opatrení 2.2.2 sa alokácia IÚI-SIEA (VRR) znížila o 7 000 000 EUR (z 7 777 955 EUR na 777 955 EUR)</t>
  </si>
  <si>
    <t>: priorite 2P1, špecifickom cieli RSO2.2, v opatrení 2.2.2 sa alokácia IÚI-SIEA (MRR) znížila o 1 871 577 EUR (z 8 901 684 EUR na 7 030 107 EUR)</t>
  </si>
  <si>
    <t>: priorite 2P2, špecifickom cieli RSO2.4, v opatrení 2.4.1 sa alokácia IÚI-MŽP SR (MRR) znížila o 543 639 EUR (z 10 659 000 EUR na 10 115 361 EUR)</t>
  </si>
  <si>
    <t>: priorite 2P2, špecifickom cieli RSO2.4, v opatrení 2.4.1 sa alokácia IÚI-UMR-MŽP SR (MRR) zvýšila o 562 478 EUR (z 52 041 000 EUR na 52 603 478 EUR)</t>
  </si>
  <si>
    <t>: priorite 2P2, špecifickom cieli RSO2.5, v opatrení 2.5.3 sa alokácia IÚI-UMR-MIRRI SR (MRR) znížila o 1 839 511 EUR (z 5 000 000 EUR na 3 160 489 EUR)</t>
  </si>
  <si>
    <t>: priorite 2P2, špecifickom cieli RSO2.5, v opatrení 2.5.4 sa alokácia IÚI-MŽP SR (MRR) znížila o 2 174 944 EUR (z 9 350 000 EUR na 7 175 056 EUR)</t>
  </si>
  <si>
    <t>: priorite 2P2, špecifickom cieli RSO2.5, v opatrení 2.5.5 sa alokácia IÚI-UMR-MIRRI SR (MRR) znížila o 1 249 936 EUR (z 2 400 000 EUR na 1 150 064 EUR)</t>
  </si>
  <si>
    <t>: priorite 2P2, špecifickom cieli RSO2.5, v opatrení 2.5.7 sa alokácia IÚI-UMR-MŽP SR (MRR) znížila o 408 863 EUR (z 5 180 000 EUR na 4 771 137 EUR)</t>
  </si>
  <si>
    <t>: priorite 2P2, špecifickom cieli RSO2.6, v opatrení 2.6.1 sa alokácia IÚI-MŽP SR (MRR) znížila o 847 434 EUR (z 2 516 973 EUR na 1 669 539 EUR)</t>
  </si>
  <si>
    <t>: priorite 2P2, špecifickom cieli RSO2.6, v opatrení 2.6.1 sa alokácia IÚI-UMR-MŽP SR (MRR) znížila o 452 495 EUR (z 1 975 057 EUR na 1 522 562 EUR)</t>
  </si>
  <si>
    <t>: priorite 2P2, špecifickom cieli RSO2.6, v opatrení 2.6.2 sa alokácia IÚI-MŽP SR (MRR) zvýšila o 2 232 104 EUR (z 13 469 618 EUR na 15 701 722 EUR)</t>
  </si>
  <si>
    <t>: priorite 2P2, špecifickom cieli RSO2.6, v opatrení 2.6.2 sa alokácia IÚI-UMR-MŽP SR (MRR) zvýšila o 1 616 774 EUR (z 17 609 959 EUR na 19 226 733 EUR)</t>
  </si>
  <si>
    <t>: priorite 2P2, špecifickom cieli RSO2.6, v opatrení 2.6.3 sa alokácia IÚI-MŽP SR (MRR) zvýšila o 2 718 940 EUR (z 13 796 733 EUR na 16 515 673 EUR)</t>
  </si>
  <si>
    <t>: priorite 2P2, špecifickom cieli RSO2.6, v opatrení 2.6.3 sa alokácia IÚI-UMR-MŽP SR (MRR) znížila o 1 317 894 EUR (z 12 309 111 EUR na 10 991 217 EUR)</t>
  </si>
  <si>
    <t>: priorite 2P2, špecifickom cieli RSO2.7, v opatrení 2.7.3 sa alokácia IÚI-MŽP SR (MRR) znížila o 318 800 EUR (z 3 256 000 EUR na 2 937 200 EUR)</t>
  </si>
  <si>
    <t>: priorite 2P2, špecifickom cieli RSO2.7, v opatrení 2.7.4 sa alokácia IÚI-UMR-MIRRI SR (MRR) zvýšila o 3 089 447 EUR (z 52 683 710 EUR na 55 773 157 EUR)</t>
  </si>
  <si>
    <t>: priorite 2P3, špecifickom cieli RSO2.8, v opatrení 2.8.1 sa alokácia IÚI-UMR-MD SR (MRR) zvýšila o 111 249 EUR (z 190 000 000 EUR na 190 111 249 EUR)</t>
  </si>
  <si>
    <t>: priorite 2P3, špecifickom cieli RSO2.8, v opatrení 2.8.2 sa alokácia IÚI-UMR-MIRRI SR (MRR) zvýšila o 500 000 EUR (z 30 000 000 EUR na 30 500 000 EUR)</t>
  </si>
  <si>
    <t>: priorite 3P1, špecifickom cieli RSO3.2, v opatrení 3.2.3 sa alokácia IÚI-MIRRI SR (MRR) zvýšila o 2 024 823 EUR (z 100 029 321 EUR na 102 054 144 EUR)</t>
  </si>
  <si>
    <t>: priorite 3P1, špecifickom cieli RSO3.2, v opatrení 3.2.4 sa alokácia IÚI-MIRRI SR (MRR) zvýšila o 3 125 434 EUR (z 38 256 548 EUR na 41 381 982 EUR)</t>
  </si>
  <si>
    <t>: priorite 3P1, špecifickom cieli RSO3.2, v opatrení 3.2.4 sa alokácia IÚI-UMR-MIRRI SR (MRR) zvýšila o 4 801 796 EUR (z 13 772 452 EUR na 18 574 248 EUR)</t>
  </si>
  <si>
    <t>: priorite 4P1, špecifickom cieli RSO4.1 sa alokácia IÚI-MPSVR SR (MRR) znížila o 593 485 EUR (z 5 800 000 EUR na 5 206 515 EUR)</t>
  </si>
  <si>
    <t>: priorite 4P2, špecifickom cieli RSO4.2 sa alokácia IÚI-MIRRI SR (MRR) zvýšila o 1 504 005 EUR (z 188 855 160 EUR na 190 359 165 EUR)</t>
  </si>
  <si>
    <t>: priorite 4P2, špecifickom cieli RSO4.2 sa alokácia IÚI-UMR-MIRRI SR (MRR) zvýšila o 2 241 921 EUR (z 27 034 725 EUR na 29 276 646 EUR)</t>
  </si>
  <si>
    <t>: priorite 4P5, špecifickom cieli RSO4.3 - zmena gescie časti G-MIRRI SR (EFRR - MRR a VRR) na G-MPSVR SR</t>
  </si>
  <si>
    <t>: priorite 4P5, špecifickom cieli RSO4.3 - zmena gescie časti IÚI-MIRRI SR (EFRR - MRR a VRR) na IÚI-MPSVR SR</t>
  </si>
  <si>
    <t>: priorite 4P5, špecifickom cieli RSO4.3 - zmena gescie časti IÚI-UMR-MIRRI SR (EFRR - MRR a VRR) na IÚI-UMR-MPSVR SR</t>
  </si>
  <si>
    <t>: priorite 4P5, špecifickom cieli RSO4.3 sa alokácia IÚI-MPSVR SR (MRR) znížila o 7 966 227 EUR (z 38 624 650 EUR na 30 658 423 EUR)</t>
  </si>
  <si>
    <t>: priorite 4P5, špecifickom cieli RSO4.3 sa alokácia IÚI-UMR-MPSVR SR (MRR) znížila o 651 249 EUR (z 16 300 350 EUR na 15 649 101 EUR)</t>
  </si>
  <si>
    <t>: priorite 4P5, špecifickom cieli RSO4.3 sa alokácia MIRRI SR - spolu (MRR) znížila o 54 925 000 EUR (z 54 925 000 EUR na 0 EUR)</t>
  </si>
  <si>
    <t>: priorite 4P5, špecifickom cieli RSO4.3 sa alokácia MIRRI SR - spolu (VRR) znížila o 5 000 000 EUR (z 5 000 000 EUR na 0 EUR)</t>
  </si>
  <si>
    <t>: priorite 4P5, špecifickom cieli RSO4.3 sa alokácia MPSVR SR - spolu (MRR) zvýšila o 45 907 524 EUR (z 20 145 000 EUR na 66 452 524 EUR)</t>
  </si>
  <si>
    <t>: priorite 4P5, špecifickom cieli RSO4.3 sa alokácia MPSVR SR - spolu (VRR) zvýšila o 3 650 000 EUR (z 2 700 000 EUR na 6 350 000 EUR)</t>
  </si>
  <si>
    <t>: priorite 4P5, špecifickom cieli RSO4.5 sa alokácia IÚI-MPSVR SR (MRR) zvýšila o 4 493 485 EUR (z 40 510 000 EUR na 45 003 485 EUR)</t>
  </si>
  <si>
    <t>: priorite 4P5, špecifickom cieli RSO4.5 sa alokácia IÚI-UMR-MPSVR SR (MRR) zvýšila o 540 000 EUR (z 2 750 000 EUR na 3 290 000 EUR)</t>
  </si>
  <si>
    <t>: priorite 5P1, špecifickom cieli RSO5.1, v opatrení 5.1.1 sa alokácia IÚI-UMR-MIRRI SR (MRR) znížila o 2 455 116 EUR (z 6 810 000 EUR na 4 354 884 EUR)</t>
  </si>
  <si>
    <t>: priorite 5P1, špecifickom cieli RSO5.1, v opatrení 5.1.2 sa alokácia IÚI-UMR-MIRRI SR (MRR) znížila o 3 536 076 EUR (z 6 500 000 EUR na 2 963 924 EUR)</t>
  </si>
  <si>
    <t>: priorite 5P1, špecifickom cieli RSO5.1, v opatrení 5.1.3 sa alokácia IÚI-UMR-MIRRI SR (MRR) zvýšila o 392 138 EUR (z 1 500 000 EUR na 1 892 138 EUR)</t>
  </si>
  <si>
    <t>: priorite 5P1, špecifickom cieli RSO5.1, v opatrení 5.1.4 sa alokácia IÚI-UMR-MIRRI SR (MRR) zvýšila o 9 273 437 EUR (z 22 799 276 EUR na 32 072 713 EUR)</t>
  </si>
  <si>
    <t>: priorite 5P1, špecifickom cieli RSO5.1, v opatrení 5.1.5 sa alokácia IÚI-UMR-MIRRI SR (MRR) znížila o 11 218 100 EUR (z 97 222 669 EUR na 86 004 569 EUR)</t>
  </si>
  <si>
    <t>: priorite 5P1, špecifickom cieli RSO5.2, v opatrení 5.2.1 sa alokácia IÚI-MIRRI SR (MRR) znížila o 1 283 334 EUR (z 13 100 000 EUR na 11 816 666 EUR)</t>
  </si>
  <si>
    <t>: priorite 5P1, špecifickom cieli RSO5.2, v opatrení 5.2.2 sa alokácia IÚI-MIRRI SR (MRR) znížila o 6 099 551 EUR (z 12 500 000 EUR na 6 400 449 EUR)</t>
  </si>
  <si>
    <t>: priorite 5P1, špecifickom cieli RSO5.2, v opatrení 5.2.3 sa alokácia IÚI-MIRRI SR (MRR) znížila o 614 810 EUR (z 2 301 715 EUR na 1 686 905 EUR)</t>
  </si>
  <si>
    <t>: priorite 5P1, špecifickom cieli RSO5.2, v opatrení 5.2.4 sa alokácia IÚI-MIRRI SR (MRR) zvýšila o 1 343 433 EUR (z 37 416 724 EUR na 38 760 157 EUR)</t>
  </si>
  <si>
    <t>Verzia 1.11: Zmena v porovnaní s verziou 1.10 z 14.10.2024 - presuny alokácií v priorite 2P2 (schválené MV 16.12.2024):</t>
  </si>
  <si>
    <t>: priorite 2P2, špecifickom cieli RSO2.4, v opatrení 2.4.6 sa alokácia G-MŽP SR (Kohézny fond) znížila o 3 000 000 EUR (z 3 000 000 EUR na 0 EUR)</t>
  </si>
  <si>
    <t>: priorite 2P2, špecifickom cieli RSO2.5, v opatrení 2.5.8 sa alokácia G-MŽP SR (Kohézny fond) znížila o 10 168 000 EUR (z 10 168 000 EUR na 0 EUR)</t>
  </si>
  <si>
    <t>: priorite 2P2, špecifickom cieli RSO2.5, v opatrení 2.5.7 sa alokácia G-MŽP SR (Kohézny fond) znížila o 17 323 898 EUR (z 17 323 898 EUR na 0 EUR)</t>
  </si>
  <si>
    <t>: priorite 2P2, špecifickom cieli RSO2.7, v opatrení 2.7.1 sa alokácia G-MŽP SR (Kohézny fond) znížila o 96 800 000 EUR (z 110 800 000 EUR na 14 000 000 EUR)</t>
  </si>
  <si>
    <t>: priorite 2P2, špecifickom cieli RSO2.5, v opatrení 2.5.6 sa alokácia G-MŽP SR (Kohézny fond) zvýšila o 13 168 000 EUR (z 33 860 493 EUR na 47 028 493 EUR)</t>
  </si>
  <si>
    <t>: priorite 2P2, špecifickom cieli RSO2.5, v opatrení 2.5.1 sa alokácia G-MŽP SR (Kohézny fond) zvýšila o 100 123 898 EUR (z 92 491 469 EUR na 192 615 367 EUR)</t>
  </si>
  <si>
    <t>: priorite 2P2, špecifickom cieli RSO2.5, v opatrení 2.5.4 sa alokácia G-MŽP SR (Kohézny fond) zvýšila o 14 000 000 EUR (z 1 870 656 EUR na 15 870 656 EUR)</t>
  </si>
  <si>
    <t>: priorite 2P2, špecifickom cieli RSO2.7, v opatrení 2.7.1 sa alokácia G-MŽP SR (EFRR - MRR) znížila o 43 200 000 EUR (z 137 289 250 EUR na 94 089 250 EUR)</t>
  </si>
  <si>
    <t>: priorite 2P2, špecifickom cieli RSO2.5, v opatrení 2.5.7 sa alokácia G-MŽP SR (EFRR - MRR) znížila o 20 349 970 EUR (z 20 349 970 EUR na 0 EUR)</t>
  </si>
  <si>
    <t>: priorite 2P2, špecifickom cieli RSO2.5, v opatrení 2.5.8 sa alokácia G-MŽP SR (EFRR - MRR) znížila o 22 946 000 EUR (z 22 946 000 EUR na 0 EUR)</t>
  </si>
  <si>
    <t>: priorite 2P2, špecifickom cieli RSO2.5, v opatrení 2.5.1 sa alokácia G-MŽP SR (EFRR - MRR) zvýšila o 57 549 970 EUR (z 149 000 000 EUR na 206 549 970 EUR)</t>
  </si>
  <si>
    <t>: priorite 2P2, špecifickom cieli RSO2.5, v opatrení 2.5.4 sa alokácia G-MŽP SR (EFRR - MRR) zvýšila o 6 000 000 EUR (z 9 058 000 EUR na 15 058 000 EUR)</t>
  </si>
  <si>
    <t>: priorite 2P2, špecifickom cieli RSO2.5, v opatrení 2.5.6 sa alokácia G-MŽP SR (EFRR - MRR) zvýšila o 22 946 000 EUR (z 0 EUR na 22 946 000 EUR)</t>
  </si>
  <si>
    <t>Verzia 1.11: Zmena v porovnaní s verziou 1.10 z 14.10.2024 - presuny alokácií v gescii MIRRI SR v priorite 8P1 (schválené MV 16.12.2024):</t>
  </si>
  <si>
    <t xml:space="preserve">: priorite 8P1, špecifickom cieli JSO8.1, v opatrení 8.2.3 sa alokácia G-MIRRI SR (FST) nemení (ostáva vo výške 38 859 000 EUR), ale v rámci opatrenia sa mení alokácia aktivít, a to:
</t>
  </si>
  <si>
    <t xml:space="preserve">: alokácia aktivity "Rozvoj a podpora udržateľnej miestnej verejnej dopravy s nulovými emisiami a mikromobility pri uplatňovaní zásad inteligentnej mobility" sa zvyšuje o 633 582 EUR (z 36 859 000 EUR na 37 492 582 EUR)
</t>
  </si>
  <si>
    <t>: alokácia aktivity "Rozvoj infraštruktúry pre alternatívne palivá vrátane pilotných riešení" sa znižuje o 633 582 EUR (z 2 000 000 EUR na 1 366 418 EUR)</t>
  </si>
  <si>
    <t xml:space="preserve">: priorite 8P1, špecifickom cieli JSO8.1, v opatrení 8.3.1 sa alokácia G-MIRRI SR (FST) nemení (ostáva vo výške 65 464 507 EUR), ale v rámci opatrenia sa mení alokácia aktivít, a to:
</t>
  </si>
  <si>
    <t xml:space="preserve">: alokácia aktivity "Podpora infraštruktúry a vybavenia na účely formálneho a neformálneho vzdelávania" sa zvyšuje o 3 080 049 EUR (z 46 244 205 EUR na 49 324 254 EUR)
</t>
  </si>
  <si>
    <t>: alokácia aktivity "Spolupráca medzi MSP a strednými odbornými školami na podporu praktického vzdelávania študentov a ich prípravy na zamestnanie" sa znižuje o 3 080 049 EUR (z 10 777 320 EUR na 7 697 271 EUR)</t>
  </si>
  <si>
    <t>Verzia 1.11: Zmena v porovnaní s verziou 1.10 z 14.10.2024 - presuny alokácií v gescii MH SR v priorite 8P1 (schválené MV 16.12.2024):</t>
  </si>
  <si>
    <t>: priorite 8P1, špecifickom cieli JSO8.1, v opatrení 8.1.2 sa alokácia G-MH SR (FST) znížila o 14 972 238 EUR (z 32 299 820 EUR na 17 327 582 EUR)</t>
  </si>
  <si>
    <t>: priorite 8P1, špecifickom cieli JSO8.1, v opatrení 8.1.3 sa alokácia G-MH SR (FST) zvýšila o 20 951 953 EUR (z 36 013 000 EUR na 56 964 953 EUR)</t>
  </si>
  <si>
    <t>: priorite 8P1, špecifickom cieli JSO8.1, v opatrení 8.2.2 sa alokácia G-MH SR (FST) znížila o 5 979 715 EUR (z 23 313 000 EUR na 17 333 285 EUR)</t>
  </si>
  <si>
    <t>Verzia 1.11: Zmena v porovnaní s verziou 1.10 z 14.10.2024 - presun alokácie IÚI v rámci opatrenia 1.1.1 (schválené MV 16.12.2024):</t>
  </si>
  <si>
    <t>: priorite 1P1, špecifickom cieli RSO1.1, v opatrení 1.1.1 sa alokácia IÚI-UMR MIRRI SR (MRR) znížila o 2 085 187 EUR (z 15 757 849 EUR na 13 672 662 EUR)</t>
  </si>
  <si>
    <t>: priorite 1P1, špecifickom cieli RSO1.1, v opatrení 1.1.1 sa alokácia IÚI MIRRI SR (MRR) zvýšila o 2 085 187 EUR (z 45 356 327 EUR na 47 441 514 EUR)</t>
  </si>
  <si>
    <t>Verzia 1.11: Zmena v porovnaní s verziou 1.10 z 14.10.2024 - presuny alokácií v gescii MH SR v priorite 1P1 (schválené MV 16.12.2024):</t>
  </si>
  <si>
    <t xml:space="preserve">: priorite 1P1, špecifickom cieli RSO1.3, v opatrení 1.3.1 sa alokácia FN-MH SR (EFRR - MRR) znížila o 53 000 000 EUR (z 153 500 000 EUR na 100 500 000 EUR) </t>
  </si>
  <si>
    <t>: priorite 1P1, špecifickom cieli RSO1.3, v opatrení 1.3.1 sa alokácia G-MH SR (EFRR - MRR) zvýšila o 53 000 000 EUR (z 18 384 426 EUR na 71 384 426 EUR)</t>
  </si>
  <si>
    <t>Typ zmeny</t>
  </si>
  <si>
    <t>Vplyv na MU</t>
  </si>
  <si>
    <t xml:space="preserve">: priorite 1P1, špecifickom cieli RSO1.1, v opatrení 1.1.1 sa alokácia G-MH SR (EFRR - MRR) znížila o 25 000 000 EUR (z 155 918 775 EUR na 130 918 775 EUR) </t>
  </si>
  <si>
    <t>presun STEP</t>
  </si>
  <si>
    <t>áno</t>
  </si>
  <si>
    <t xml:space="preserve">: priorite 1P1, špecifickom cieli RSO1.1, v opatrení 1.1.2 sa alokácia G-MH SR (EFRR - MRR) znížila o 20 750 000 EUR (z 20 750 000 EUR na 0 EUR) </t>
  </si>
  <si>
    <t xml:space="preserve">: priorite 1P1, špecifickom cieli RSO1.1, v opatrení 1.1.3 sa alokácia G-MH SR (EFRR - MRR) znížila o 10 000 000 EUR (z 23 188 554 EUR na 13 188 554 EUR) </t>
  </si>
  <si>
    <t xml:space="preserve">: priorite 1P1, špecifickom cieli RSO1.1, v opatrení 1.1.3 sa alokácia G-MŠVVM SR (EFRR - MRR) znížila o 26 000 000 EUR (z 81 117 470 EUR na 55 117 470 EUR) </t>
  </si>
  <si>
    <t xml:space="preserve">: priorite 1P1, špecifickom cieli RSO1.1, v opatrení 1.1.4 sa alokácia G-MŠVVM SR (EFRR - MRR) znížila o 43 430 000 EUR (z 50 400 000 EUR na 6 970 000 EUR) </t>
  </si>
  <si>
    <t xml:space="preserve">: priorite 1P1, špecifickom cieli RSO1.1, v opatrení 1.1.4 sa alokácia G-MŠVVM SR (EFRR - VRR) znížila o 7 570 000 EUR (z 18 000 000 EUR na 10 430 000 EUR) </t>
  </si>
  <si>
    <t xml:space="preserve">: priorite 1P1, špecifickom cieli RSO1.1, v opatrení 1.1.4 sa alokácia G-MZ SR (EFRR - MRR) znížila o 40 000 000 EUR (z 190 000 000 EUR na 150 000 000 EUR) </t>
  </si>
  <si>
    <t xml:space="preserve">: priorite 1P1, špecifickom cieli RSO1.4, v opatrení 1.4.1 sa alokácia G-MŠVVM SR (EFRR - MRR) znížila o 16 435 399 EUR (z 138 100 000 EUR na 121 664 601 EUR) </t>
  </si>
  <si>
    <t xml:space="preserve">: priorite 1P1, špecifickom cieli RSO1.4, v opatrení 1.4.1 sa alokácia G-MŠVVM SR (EFRR - VRR) znížila o 3 597 000 EUR (z 9 000 000 EUR na 5 403 000 EUR) </t>
  </si>
  <si>
    <t xml:space="preserve">: priorite 1P3, špecifickom cieli RSO1.6 sa vytvorila alokácia G-MH SR (EFRR - MRR) vo výške 55 750 000 EUR </t>
  </si>
  <si>
    <t xml:space="preserve">: priorite 1P3, špecifickom cieli RSO1.6 sa vytvorila alokácia G-MŠVVM SR (EFRR - MRR) vo výške 102 865 399 EUR </t>
  </si>
  <si>
    <t xml:space="preserve">: priorite 1P3, špecifickom cieli RSO1.6 sa vytvorila alokácia G-MŠVVM SR (EFRR - VRR) vo výške 13 167 000 EUR </t>
  </si>
  <si>
    <t xml:space="preserve">: priorite 1P3, špecifickom cieli RSO1.6 sa vytvorila alokácia G-MZ SR (EFRR - MRR) vo výške 40 000 000 EUR </t>
  </si>
  <si>
    <t xml:space="preserve">: priorite 4P3, špecifickom cieli RSO4.2 sa alokácia G-MŠVVM SR (EFRR - MRR) znížila o 17 000 000 EUR (z 45 000 000 EUR na 28 000 000 EUR) </t>
  </si>
  <si>
    <t xml:space="preserve">: priorite 4P3, špecifickom cieli RSO4.2 sa alokácia G-MŠVVM SR (EFRR - VRR) znížila o 2 000 000 EUR (z 5 000 000 EUR na 3 000 000 EUR) </t>
  </si>
  <si>
    <t xml:space="preserve">: priorite 2P2, špecifickom cieli RSO2.7, v opatrení 2.7.1 sa alokácia G-MŽP SR (Kohézny fond) zvýšila o 16 500 000 EUR (z 14 000 000 EUR na 30 500 000 EUR) </t>
  </si>
  <si>
    <t>presun KF - EFRR</t>
  </si>
  <si>
    <t xml:space="preserve">: priorite 2P2, špecifickom cieli RSO2.7, v opatrení 2.7.1 sa alokácia G-MŽP SR (EFRR - MRR) znížila o 16 500 000 EUR (z 94 089 250 EUR na 77 589 250 EUR) </t>
  </si>
  <si>
    <t xml:space="preserve">: priorite 2P2, špecifickom cieli RSO2.7, v opatrení 2.7.10 sa alokácia G-MIRRI SR (Kohézny fond) znížila o 16 500 000 EUR (z 16 500 000 EUR na 0 EUR) </t>
  </si>
  <si>
    <t xml:space="preserve">: priorite 2P2, špecifickom cieli RSO2.7, v opatrení 2.7.10 sa alokácia G-MIRRI SR (EFRR - MRR) zvýšila o 16 500 000 EUR (z 5 000 000 EUR na 21 500 000 EUR) </t>
  </si>
  <si>
    <t xml:space="preserve">: priorite 8P1, špecifickom cieli JSO8.1, sa názov opatrenia 8.2.1 mení z "Podpora čistej energie a obehového hospodárstva (relevantné pre región Horná Nitra) Podpora čistej energie (releventné pre Košický a Banskobystrický kraj)" na "Podpora čistej energie"
</t>
  </si>
  <si>
    <t>-</t>
  </si>
  <si>
    <t xml:space="preserve">: priorite 8P1, špecifickom cieli JSO8.1, v opatrení 8.2.1 sa alokácia G-MIRRI SR (FST) nemení (ostáva vo výške 94 979 531 EUR), ale v rámci opatrenia sa mení alokácia v rámci aktivity, a to:
</t>
  </si>
  <si>
    <t xml:space="preserve">: v rámci aktivity "Výstavba zariadení na výrobu OZE a zeleného vodíka a ich využívanie v energetických systémoch vrátane diaľkového vykurovania a chladenia, podpora zavádzania inteligentných energetických systémov vrátane uskladňovania OZE" sa vytvára alokácia aj pre BBSK vo výške 4 335 824 EUR
</t>
  </si>
  <si>
    <t>: v rámci aktivity "Výstavba zariadení na výrobu OZE a zeleného vodíka a ich využívanie v energetických systémoch vrátane diaľkového vykurovania a chladenia, podpora zavádzania inteligentných energetických systémov vrátane uskladňovania OZE" sa znižuje alokácia pre KESK o 3 426 025 EUR (z 6 000 000 EUR na 2 573 975 EUR)</t>
  </si>
  <si>
    <t>: v rámci aktivity "Výstavba zariadení na výrobu OZE a zeleného vodíka a ich využívanie v energetických systémoch vrátane diaľkového vykurovania a chladenia, podpora zavádzania inteligentných energetických systémov vrátane uskladňovania OZE" sa znižuje alokácia pre TNSK o 909 799 EUR (z 24 814 298 EUR na 23 904 499 EUR)</t>
  </si>
  <si>
    <t xml:space="preserve">: priorite 8P1, špecifickom cieli JSO8.1, sa menia merateľné ukazovatele v nadväznosti na článok 12 ods. 2 nariadenia, ktorým sa zriaďuje FST. Zmena MU sa týka MU výstupu a výsledku v pôsobnosti MIRRI SR, MPSVR SR.
</t>
  </si>
  <si>
    <t>MTR</t>
  </si>
  <si>
    <t>: priorite 1P1, špecifickom cieli RSO1.1, v opatrení 1.1.1 sa alokácia IÚI-MIRRI SR (MRR) zvýšila o 850 000 EUR. Ide o presun medzi alokáciami KR UMR BB a RP BBSK (z 47 441 514 EUR na 48 291 514 EUR)</t>
  </si>
  <si>
    <t>presun ITI</t>
  </si>
  <si>
    <t>nie</t>
  </si>
  <si>
    <t>: priorite 1P1, špecifickom cieli RSO1.1, v opatrení 1.1.1 sa alokácia IÚI-UMR-MIRRI SR (MRR) znížila o 850 000 EUR. Ide o presun medzi alokáciami KR UMR BB a RP BBSK (z 13 672 662 EUR na 12 822 662 EUR)</t>
  </si>
  <si>
    <t>: priorite 1P1, špecifickom cieli RSO1.2, v opatrení 1.2.2 sa alokácia IÚI-MIRRI SR (MRR) zvýšila 425 000 EUR. Ide o presun medzi alokáciami KR UMR BB a RP BBSK (z 12 143 161 EUR na 12 568 161 EUR)</t>
  </si>
  <si>
    <t>: priorite 1P1, špecifickom cieli RSO1.2, v opatrení 1.2.2 sa alokácia IÚI-UMR-MIRRI SR (MRR) znížila o 379 554 EUR. Zahŕňa aj presun medzi alokáciami KR UMR BB  a RP BBSK vo výške 425 000 EUR (z 52 296 705 EUR na 51 917 151 EUR)</t>
  </si>
  <si>
    <t>: priorite 1P1, špecifickom cieli RSO1.4, v opatrení 1.4.1 sa alokácia IÚI-MIRRI SR (MRR) zvýšila o 2 200 000 EUR (z 43 400 512 EUR na 45 600 512 EUR)</t>
  </si>
  <si>
    <t>: priorite 1P1, špecifickom cieli RSO1.4, v opatrení 1.4.1 sa alokácia IÚI-UMR-MIRRI SR (MRR) znížila o 45 446 EUR (z 45 446 EUR na 0 EUR)</t>
  </si>
  <si>
    <t>: priorite 2P1, špecifickom cieli RSO2.1, v opatrení 2.1.2 sa alokácia IÚI-SIEA (MRR) zvýšila o 1 457 966 EUR. Zahŕňa aj presun medzi alokáciami RP BBSK a KR UMR BB vo výške 1 542 034 EUR (z 63 178 481 EUR na 64 636 447 EUR)</t>
  </si>
  <si>
    <t>: priorite 2P1, špecifickom cieli RSO2.1, v opatrení 2.1.2 sa alokácia IÚI-UMR-SIEA (MRR) zvýšila o 30 195 953 EUR. Zahŕňa aj presun medzi alokáciami RP BBSK a KR UMR BB vo výške 1 542 034 EUR (z 40 130 227 EUR na 70 326 180 EUR)</t>
  </si>
  <si>
    <t>: priorite 2P1, špecifickom cieli RSO2.1, v opatrení 2.1.2 sa alokácia IÚI-UMR-SIEA (VRR) zvýšila o 2 839 242 EUR (z 3 538 823 EUR na 6 378 065 EUR)</t>
  </si>
  <si>
    <t>: priorite 2P1, špecifickom cieli RSO2.2, v opatrení 2.2.2 sa alokácia IÚI-UMR-SIEA (MRR) zvýšila o 1 394 467 EUR (z 5 103 806 EUR na 6 498 273 EUR)</t>
  </si>
  <si>
    <t>: priorite 2P1, špecifickom cieli RSO2.2, v opatrení 2.2.2 sa alokácia IÚI-UMR-SIEA (MRR) zvýšila o 516 225 EUR (z 1 451 845 EUR na 1 968 070 EUR)</t>
  </si>
  <si>
    <t>: priorite 2P2, špecifickom cieli RSO2.4, v opatrení 2.4.1 sa alokácia IÚI-UMR-MŽP SR (MRR) znížila o 22 339 833 EUR (z 52 603 478 EUR na 30 263 645 EUR)</t>
  </si>
  <si>
    <t>: priorite 2P2, špecifickom cieli RSO2.5, v opatrení 2.5.2 sa alokácia IÚI-MŽP SR (MRR) zvýšila o 178 354 EUR (z 27 500 000 EUR na 27 678 354 EUR)</t>
  </si>
  <si>
    <t>: priorite 2P2, špecifickom cieli RSO2.5, v opatrení 2.5.3 sa alokácia IÚI-MIRRI SR (MRR) zvýšila o 4 000 000 EUR (z 15 000 000 EUR na 19 000 000 EUR)</t>
  </si>
  <si>
    <t>: priorite 2P2, špecifickom cieli RSO2.5, v opatrení 2.5.3 sa alokácia IÚI-UMR-MIRRI SR (MRR) znížila o 14 754 EUR (z 3 160 489 EUR na 3 145 735 EUR)</t>
  </si>
  <si>
    <t>: priorite 2P2, špecifickom cieli RSO2.5, v opatrení 2.5.5 sa alokácia IÚI-MIRRI SR (MRR) zvýšila o 1 000 000 EUR (z 12 600 000 EUR na 13 600 000 EUR)</t>
  </si>
  <si>
    <t>: priorite 2P2, špecifickom cieli RSO2.5, v opatrení 2.5.5 sa alokácia IÚI-UMR-MIRRI SR (MRR) znížila o 231 130 EUR (z 1 150 064 EUR na 918 934 EUR)</t>
  </si>
  <si>
    <t>: priorite 2P2, špecifickom cieli RSO2.5, v opatrení 2.5.7 sa alokácia IÚI-MŽP SR (MRR) znížila o 5 000 000 EUR (z 49 170 030 EUR na 44 170 030 EUR)</t>
  </si>
  <si>
    <t>: priorite 2P2, špecifickom cieli RSO2.5, v opatrení 2.5.7 sa alokácia IÚI-UMR-MŽP SR (MRR) znížila o 1 618 924 EUR (z 4 771 137 EUR na 3 152 213 EUR)</t>
  </si>
  <si>
    <t>: priorite 2P2, špecifickom cieli RSO2.6, v opatrení 2.6.1 sa alokácia IÚI-MŽP SR (MRR) znížila o 257 549 EUR (z 1 669 539 EUR na 1 411 990 EUR)</t>
  </si>
  <si>
    <t>: priorite 2P2, špecifickom cieli RSO2.6, v opatrení 2.6.1 sa alokácia IÚI-UMR-MŽP SR (MRR) znížila o 741 807 EUR (z 1 522 562 EUR na 780 755 EUR)</t>
  </si>
  <si>
    <t>: priorite 2P2, špecifickom cieli RSO2.6, v opatrení 2.6.1 sa alokácia IÚI-UMR-MŽP SR (VRR) znížila o 153 985 EUR (z 153 985 EUR na 0 EUR)</t>
  </si>
  <si>
    <t>: priorite 2P2, špecifickom cieli RSO2.6, v opatrení 2.6.2 sa alokácia IÚI-MŽP SR (MRR) zvýšila o 3 500 000 EUR (z 15 701 722 EUR na 19 201 722 EUR)</t>
  </si>
  <si>
    <t>: priorite 2P2, špecifickom cieli RSO2.6, v opatrení 2.6.2 sa alokácia IÚI-MŽP SR (VRR) znížila o 2 407 909 EUR (z 2 407 909 EUR na 0 EUR)</t>
  </si>
  <si>
    <t>: priorite 2P2, špecifickom cieli RSO2.6, v opatrení 2.6.2 sa alokácia IÚI-UMR-MŽP SR (MRR) znížila o 5 587 013 EUR (z 19 226 733 EUR na 13 639 720 EUR)</t>
  </si>
  <si>
    <t>: priorite 2P2, špecifickom cieli RSO2.6, v opatrení 2.6.2 sa alokácia IÚI-UMR-MŽP SR (VRR) znížila o 4 258 414 EUR (z 6 867 514 EUR na 2 609 100 EUR)</t>
  </si>
  <si>
    <t>: priorite 2P2, špecifickom cieli RSO2.6, v opatrení 2.6.3 sa alokácia IÚI-MŽP SR (MRR) znížila o 3 500 000 EUR (z 16 515 673 EUR na 13 015 673 EUR)</t>
  </si>
  <si>
    <t>: priorite 2P2, špecifickom cieli RSO2.6, v opatrení 2.6.3 sa alokácia IÚI-MŽP SR (VRR) znížila o 3 547 297 EUR (z 3 547 297 EUR na 0 EUR)</t>
  </si>
  <si>
    <t>: priorite 2P2, špecifickom cieli RSO2.6, v opatrení 2.6.3 sa alokácia IÚI-UMR-MŽP SR (MRR) znížila o 5 190 056 EUR (z 10 991 217 EUR na 5 801 161 EUR)</t>
  </si>
  <si>
    <t>: priorite 2P2, špecifickom cieli RSO2.6, v opatrení 2.6.3 sa alokácia IÚI-UMR-MŽP SR (VRR) znížila o 749 859 EUR (z 5 789 859 EUR na 5 040 000 EUR)</t>
  </si>
  <si>
    <t>: priorite 2P2, špecifickom cieli RSO2.7, v opatrení 2.7.3 sa alokácia IÚI-MŽP SR (MRR) znížila o 1 110 625 EUR (z 2 937 200 EUR na 1 826 575 EUR)</t>
  </si>
  <si>
    <t>: priorite 2P2, špecifickom cieli RSO2.7, v opatrení 2.7.3 sa alokácia IÚI-UMR-MŽP SR (MRR) znížila o 5 607 435 EUR (z 8 000 000 EUR na 2 392 565 EUR)</t>
  </si>
  <si>
    <t>: priorite 2P2, špecifickom cieli RSO2.7, v opatrení 2.7.4 sa alokácia IÚI-MIRRI SR (MRR) zvýšila o 1 110 625 EUR (z 18 555 400 EUR na 19 666 025 EUR)</t>
  </si>
  <si>
    <t>: priorite 2P2, špecifickom cieli RSO2.7, v opatrení 2.7.4 sa alokácia IÚI-MIRRI SR (VRR) zvýšila o 5 955 206 EUR (z 3 500 000 EUR na 9 455 206 EUR)</t>
  </si>
  <si>
    <t>: priorite 2P2, špecifickom cieli RSO2.7, v opatrení 2.7.4 sa alokácia IÚI-UMR-MIRRI SR (MRR) zvýšila o 27 531 945 EUR (z 55 773 157 EUR na 83 305 102 EUR)</t>
  </si>
  <si>
    <t>: priorite 2P2, špecifickom cieli RSO2.7, v opatrení 2.7.4 sa alokácia IÚI-UMR-MIRRI SR (VRR) zvýšila o 1 806 791 EUR (z 3 500 000 EUR na 5 306 791 EUR)</t>
  </si>
  <si>
    <t>: priorite 2P3, špecifickom cieli RSO2.8, v opatrení 2.8.1 sa alokácia IÚI-MD SR (MRR) znížila o 10 942 451 EUR. Zahŕňa aj presun medzi alokáciami RP POSK a KR UMR PO vo výške 1 000 000 EUR (z 160 000 000 EUR na 149 057 549 EUR)</t>
  </si>
  <si>
    <t>: priorite 2P3, špecifickom cieli RSO2.8, v opatrení 2.8.1 sa alokácia IÚI-UMR-MD SR (MRR) znížila o 22 571 406 EUR. Zahŕňa aj presun medzi alokáciami RP POSK a KR UMR PO vo výške 1 000 000 EUR (z 190 111 249 EUR na 167 539 843 EUR)</t>
  </si>
  <si>
    <t>: priorite 2P3, špecifickom cieli RSO2.8, v opatrení 2.8.2 sa alokácia IÚI-MIRRI SR (MRR) zvýšila o 6 112 690 EUR (z 64 000 000 EUR na 70 112 690 EUR)</t>
  </si>
  <si>
    <t>: priorite 2P3, špecifickom cieli RSO2.8, v opatrení 2.8.2 sa alokácia IÚI-UMR-MIRRI SR (MRR) zvýšila o 8 431 777 EUR (z 30 500 000 EUR na 38 931 777 EUR)</t>
  </si>
  <si>
    <t>: priorite 3P1, špecifickom cieli RSO3.2, v opatrení 3.2.3 sa alokácia IÚI-MIRRI SR (MRR) zvýšila o 4 000 000 EUR (z 102 054 144 EUR na 106 054 144 EUR)</t>
  </si>
  <si>
    <t>: priorite 3P1, špecifickom cieli RSO3.2, v opatrení 3.2.4 sa alokácia IÚI-MIRRI SR (MRR) zvýšila o 5 635 912 EUR (z 41 381 982 EUR na 47 017 894 EUR)</t>
  </si>
  <si>
    <t>: priorite 3P1, špecifickom cieli RSO3.2, v opatrení 3.2.4 sa alokácia IÚI-UMR-MIRRI SR (MRR) zvýšila o 499 808 EUR (z 18 574 248 EUR na 19 074 056 EUR)</t>
  </si>
  <si>
    <t>: priorite 4P1, špecifickom cieli RSO4.1 sa alokácia IÚI-MPSVR SR (MRR) znížila o 2 934 135 EUR (z 5 206 515 EUR na 2 272 380 EUR)</t>
  </si>
  <si>
    <t>: priorite 4P1, špecifickom cieli RSO4.1 sa alokácia IÚI-MPSVR SR (VRR) znížila o 1 200 000 EUR (z 1 200 000 EUR na 0 EUR)</t>
  </si>
  <si>
    <t>: priorite 4P2, špecifickom cieli RSO4.2 sa alokácia IÚI-MIRRI SR (MRR) zvýšila o 981 347 EUR (z 190 359 165 EUR na 191 340 512 EUR)</t>
  </si>
  <si>
    <t>: priorite 4P2, špecifickom cieli RSO4.2 sa alokácia IÚI-MIRRI SR (VRR) zvýšila o 1 950 000 EUR (z 10 003 665 EUR na 11 953 665 EUR)</t>
  </si>
  <si>
    <t>: priorite 4P2, špecifickom cieli RSO4.2 sa alokácia IÚI-UMR-MIRRI SR (MRR) zvýšila o 6 872 315 EUR (z 29 276 646 EUR na 36 148 961 EUR)</t>
  </si>
  <si>
    <t>: priorite 4P5, špecifickom cieli RSO4.3 sa alokácia IÚI-MPSVR SR (MRR) znížila o 10 748 602 EUR (z 30 658 423 EUR na 19 909 821 EUR)</t>
  </si>
  <si>
    <t>: priorite 4P5, špecifickom cieli RSO4.3 sa alokácia IÚI-UMR-MPSVR SR (MRR) znížila o 8 115 418 EUR (z 15 649 101 EUR na 7 533 683 EUR)</t>
  </si>
  <si>
    <t>: priorite 4P5, špecifickom cieli RSO4.5 sa alokácia IÚI-MPSVR SR (MRR) zvýšila o 1 140 239 EUR (z 45 003 485 EUR na 46 143 724 EUR)</t>
  </si>
  <si>
    <t>: priorite 4P5, špecifickom cieli RSO4.5 sa alokácia IÚI-UMR-MPSVR SR (MRR) znížila o 1 544 905 EUR (z 3 290 000 EUR na 1 745 095 EUR)</t>
  </si>
  <si>
    <t>: priorite 4P5, špecifickom cieli RSO4.5 sa alokácia IÚI-MZ SR (MRR) zvýšila o 1 716 901 EUR (z 16 500 000 EUR na 18 216 901 EUR)</t>
  </si>
  <si>
    <t>: priorite 5P1, špecifickom cieli RSO5.1, v opatrení 5.1.1 sa alokácia IÚI-UMR-MIRRI SR (MRR) znížila o 418 150 EUR (z 4 354 884 EUR na 3 936 734 EUR)</t>
  </si>
  <si>
    <t>: priorite 5P1, špecifickom cieli RSO5.1, v opatrení 5.1.2 sa alokácia IÚI-UMR-MIRRI SR (MRR) znížila o 259 327 EUR (z 2 963 924 EUR na 2 704 597 EUR)</t>
  </si>
  <si>
    <t>: priorite 5P1, špecifickom cieli RSO5.1, v opatrení 5.1.4 sa alokácia IÚI-UMR-MIRRI SR (MRR) znížila o 104 982 EUR. Zahŕňa aj presun medzi alokáciami KR UMR LC a RP BBSK (5.1.4-5.2.4) vo výške 1 883 276 EUR a presun medzi alokáciami RP BBSK a KR UMR RS (5.2.4-5.1.4) vo výške 1 126 817 EUR (z 32 072 713 EUR na 31 967 731 EUR)</t>
  </si>
  <si>
    <t>: priorite 5P1, špecifickom cieli RSO5.1, v opatrení 5.1.5 sa alokácia IÚI-UMR-MIRRI SR (MRR) zvýšila o 5 784 251 EUR. Zahŕňa aj presun medzi alokáciami RP BBSK a KR UMR BB vo výške 6 579 801 EUR (z 86 004 569 EUR na 91 788 820 EUR)</t>
  </si>
  <si>
    <t>: priorite 5P1, špecifickom cieli RSO5.1, v opatrení 5.1.6 sa alokácia IÚI-UMR-MIRRI SR (MRR) zvýšila o 2 000 000 EUR (z 34 300 000 EUR na 36 300 000 EUR)</t>
  </si>
  <si>
    <t>: priorite 5P1, špecifickom cieli RSO5.2, v opatrení 5.2.1 sa alokácia IÚI-MIRRI SR (MRR) znížila o 946 507 EUR (z 11 816 666 EUR na 10 870 159 EUR)</t>
  </si>
  <si>
    <t>: priorite 5P1, špecifickom cieli RSO5.2, v opatrení 5.2.1 sa alokácia IÚI-MIRRI SR (VRR) znížila o 250 000 EUR (z 500 000 EUR na 250 000 EUR)</t>
  </si>
  <si>
    <t>: priorite 5P1, špecifickom cieli RSO5.2, v opatrení 5.2.2 sa alokácia IÚI-MIRRI SR (MRR) znížila o 1 338 481 EUR (z 6 400 449 EUR na 5 061 968 EUR)</t>
  </si>
  <si>
    <t>: priorite 5P1, špecifickom cieli RSO5.2, v opatrení 5.2.2 sa alokácia IÚI-MIRRI SR (VRR) znížila o 500 000 EUR (z 500 000 EUR na 0 EUR)</t>
  </si>
  <si>
    <t>: priorite 5P1, špecifickom cieli RSO5.2, v opatrení 5.2.4 sa alokácia IÚI-MIRRI SR (MRR) zvýšila o 1 958 741 EUR. Zahŕňa aj presun medzi alokáciami KR UMR LC a RP BBSK (5.1.4-5.2.4) vo výške 1 883 276 EUR a presun medzi alokáciami RP BBSK a KR UMR RS (5.2.4-5.1.4) vo výške 1 126 817 EUR (z 38 760 157 EUR na 38 760 157 EUR)</t>
  </si>
  <si>
    <t>: priorite 5P1, špecifickom cieli RSO5.2, v opatrení 5.2.5 sa alokácia IÚI-MIRRI SR (MRR) znížila o 6 579 801 EUR. Ide o presun z alokácie RP BBSK do alokácie KR UMR BB (z 163 191 591 EUR na 156 611 790 EUR)</t>
  </si>
  <si>
    <t>trvalý presun</t>
  </si>
  <si>
    <t>: v priorite 8P1, špecifickom cieli JSO8.1, opatrení 8.2.3 gescia časti G-MIRRI SR sa FST alokácia znížila o 2 591 085 EUR (z 38 859 000 EUR na 36 267 915 EUR). Presun z aktivity s názvom „Rozvoj infraštruktúry pre alternatívne palivá vrátane pilotných riešení” (z 9 439 212 EUR na 6 848 127 EUR).</t>
  </si>
  <si>
    <t>: v priorite 8P1, špecifickom cieli JSO8.1, opatrení 8.2.1 gescia časti G-MIRRI SR sa FST alokácia zvýšila o 2 591 085 EUR (z 94 979 531 EUR na 97 570 616 EUR). Presun do aktivity s názvom „Podpora vyhľadávania, prieskumu a overovania zdrojov geotermálnej energie pre energetické využitie" (z 7 980 000 EUR na 10 571 085 EUR).</t>
  </si>
  <si>
    <t>: priorite 1P1, špecifickom cieli RSO1.2, v opatrení 1.2.1 sa alokácia G-MIRRI SR (EFRR - MRR) znížila o 18 660 000 EUR  (z 249 050 000 EUR na 230 390 000 EUR)</t>
  </si>
  <si>
    <t>: priorite 1P1, špecifickom cieli RSO1.2, v opatrení 1.2.1 sa alokácia G-MIRRI SR (EFRR - VRR) znížila o 1 340 000 EUR  (z 20 000 000 EUR na 18 660 000 EUR)</t>
  </si>
  <si>
    <t xml:space="preserve">: priorite 1P3, špecifickom cieli RSO1.6 sa vytvorila alokácia G-MIRRI SR (EFRR - MRR) vo výške 18 660 000 EUR </t>
  </si>
  <si>
    <t xml:space="preserve">: priorite 1P3, špecifickom cieli RSO1.6 sa vytvorila alokácia G-MIRRI SR (EFRR - VRR) vo výške 1 340 000 EUR </t>
  </si>
  <si>
    <t>Podpora čistej energie</t>
  </si>
  <si>
    <t>Verzia 3.3: Zmena v porovnaní s verziou 1.11 z 16.12.2024 - presuny alokácií v gescii MIRRI SR v rámci priority 8P1 (schválené MV 18.03.2025):</t>
  </si>
  <si>
    <t>Verzia 3.1: Zmena v porovnaní s verziou 1.11 z 16.12.2024 - presuny alokácií IÚI a IÚI-UMR v rámci celého programu (schválené MV 18.03.2025):</t>
  </si>
  <si>
    <t>Verzia 3.0: Zmena v porovnaní s verziou 1.11 z 16.12.2024 - presuny alokácií v nadväznosti na zmenu programu pri MTR (schválené MV 18.03.2025):</t>
  </si>
  <si>
    <t>Program Slovensko 2021 - 2027, verzia 3.5 (v EUR) (18. marec 2025)
(zahŕňa Alokačnú tabuľku 3.0, 3.1, 3.3)</t>
  </si>
  <si>
    <t>1P4</t>
  </si>
  <si>
    <t>Platforma strategických technológií pre Európu (STEP) - MPS</t>
  </si>
  <si>
    <t>1P5</t>
  </si>
  <si>
    <t>RSO1.7</t>
  </si>
  <si>
    <t>špecifický cieľ RSO1.7</t>
  </si>
  <si>
    <t>Kapacity pre obrannú spôsobilosť</t>
  </si>
  <si>
    <t>2P4</t>
  </si>
  <si>
    <t>Udržateľné vodné hospodárstvo</t>
  </si>
  <si>
    <t>2P5</t>
  </si>
  <si>
    <t xml:space="preserve">Dostupné a udržateľné bývanie </t>
  </si>
  <si>
    <t>RSO2.11</t>
  </si>
  <si>
    <t>špecifický cieľ RSO2.11</t>
  </si>
  <si>
    <t>3P2</t>
  </si>
  <si>
    <t>RSO3.3</t>
  </si>
  <si>
    <t>Rozvoj odolnej obrannej infraštruktúry, pričom sa uprednostní infraštruktúra dvojakého použitia, vrátane podpory vojenskej mobility v Únii, ako aj zlepšovania civilnej pripravenosti</t>
  </si>
  <si>
    <t>špecifický cieľ RSO3.3</t>
  </si>
  <si>
    <t>Obrana a bezpečnosť</t>
  </si>
  <si>
    <t>4P9</t>
  </si>
  <si>
    <t>RSO4.7</t>
  </si>
  <si>
    <t>Podpora prístupu k cenovo dostupnému a udržateľnému bývaniu</t>
  </si>
  <si>
    <t>Dostupné bývanie</t>
  </si>
  <si>
    <t>špecifický cieľ  RSO4.7</t>
  </si>
  <si>
    <t>4P10</t>
  </si>
  <si>
    <t>špecifický cieľ RSO5.3</t>
  </si>
  <si>
    <t>RSO5.3</t>
  </si>
  <si>
    <t>Dostupné bývanie v regiónoch</t>
  </si>
  <si>
    <t xml:space="preserve">Podpora integrovaného územného rozvoja na základe prístupu k cenovo dostupnému a udržateľnému bývaniu na všetkých typoch území </t>
  </si>
  <si>
    <t>5P2</t>
  </si>
  <si>
    <t>5P3</t>
  </si>
  <si>
    <t>Civilná pripravenosť v regiónoch</t>
  </si>
  <si>
    <t>RSO5.4</t>
  </si>
  <si>
    <t xml:space="preserve">Zabezpečenie civilnej pripravenosti na všetkých typoch území </t>
  </si>
  <si>
    <t>špecifický cieľ RSO5.4</t>
  </si>
  <si>
    <t>Zručnosti v civilnej pripravenosti, obrane a kybernetickej bezpečnosti</t>
  </si>
  <si>
    <t>Podpora obranných spôsobilostí</t>
  </si>
  <si>
    <t>Odolné vodné hospodárstvo</t>
  </si>
  <si>
    <t>Dostupné a udržateľné bývanie</t>
  </si>
  <si>
    <t>Zručnosti v civilnej pripravenosti</t>
  </si>
  <si>
    <t>Fond na spravodlivú transformáciu - MPS</t>
  </si>
  <si>
    <t>8P2</t>
  </si>
  <si>
    <t>2P6</t>
  </si>
  <si>
    <t>RSO2.12</t>
  </si>
  <si>
    <t>špecifický cieľ RSO2.12</t>
  </si>
  <si>
    <t>Energetická infraštruktúra</t>
  </si>
  <si>
    <t xml:space="preserve">: v priorite 2P2, špecifickom cieli RSO2.5, opatrení 2.5.1 sa alokácia MRK-ÚV SR (EFRR - MRR) znížila o 5 000 000 EUR (z 15 000 000 EUR na 10 000 000 EUR) </t>
  </si>
  <si>
    <t xml:space="preserve">: v priorite 2P2, špecifickom cieli RSO2.5, opatrení 2.5.3 sa alokácia MRK-ÚV SR (EFRR - MRR) zvýšila o 8 000 000 EUR (z 20 000 000 EUR na 28 000 000 EUR) </t>
  </si>
  <si>
    <t xml:space="preserve">: v priorite 2P2, špecifickom cieli RSO2.5, opatrení 2.5.5 sa alokácia MRK-ÚV SR (EFRR - MRR) zvýšila o 3 500 000 EUR (z 15 000 000 EUR na 18 500 000 EUR) </t>
  </si>
  <si>
    <t xml:space="preserve">: v priorite 4P2, špecifickom cieli RSO4.2 sa alokácia MRK-ÚV SR (EFRR - MRR) zvýšila o 6 000 000 EUR (z 15 000 000 EUR na 21 000 000 EUR) </t>
  </si>
  <si>
    <t xml:space="preserve">: v priorite 1P1, špecifickom cieli RSO1.1, opatrení 1.1.1 sa alokácia G-MŠVVM SR (EFRR - VRR) znížila o 18 551 301 EUR (z 27 617 925 EUR na 9 066 624 EUR) </t>
  </si>
  <si>
    <t xml:space="preserve">: v priorite 1P1, špecifickom cieli RSO1.1, opatrení 1.1.4 sa alokácia G-MŠVVM SR (EFRR - VRR) zvýšila o 15 415 049 EUR (z 10 430 000 EUR na 25 845 049 EUR) </t>
  </si>
  <si>
    <t xml:space="preserve">: v priorite 1P1, špecifickom cieli RSO1.1, opatrení 1.1.3 sa alokácia G-MŠVVM SR (EFRR - MRR) znížila o 29 489 924 EUR (z 55 117 470 EUR na 25 627 546 EUR) </t>
  </si>
  <si>
    <t xml:space="preserve">: v priorite 1P1, špecifickom cieli RSO1.4, opatrení 1.4.1 sa alokácia G-MŠVVM SR (EFRR - VRR) zvýšila o 1 500 000 EUR (z 5 403 000 EUR na 6 903 000 EUR) </t>
  </si>
  <si>
    <t xml:space="preserve">: v priorite 1P1, špecifickom cieli RSO1.1, opatrení 1.1.1 sa alokácia G-MŠVVM SR (EFRR -MRR) zvýšila o 37 622 990 EUR (z 84 932 075 EUR na 122 555 065 EUR) </t>
  </si>
  <si>
    <t xml:space="preserve">: v priorite 1P1, špecifickom cieli RSO1.1, opatrení 1.1.3 sa alokácia G-MŠVVM SR (EFRR - VRR) zvýšila o 9 896 507 EUR (z 7 900 000 EUR na 17 796 507 EUR) </t>
  </si>
  <si>
    <t xml:space="preserve">: v priorite 1P1, špecifickom cieli RSO1.1, opatrení 1.1.4 sa alokácia G-MŠVVM SR (EFRR - MRR) zvýšila o 69 114 448 EUR (z 6 970 000 EUR na 76 084 448 EUR) </t>
  </si>
  <si>
    <t>transfery:
10 % z EFRR do KF
2 % z ESF+ do KF
5 % z MRR do VRR (BSK)
36 061 000 EUR z EFRR do ESF+</t>
  </si>
  <si>
    <t>Podpora investícií, ktoré prispievajú k cieľom Platformy strategických technológií pre Európu uvedeným v článku 2 nariadenia Európskeho parlamentu a Rady (EÚ) 2024/795</t>
  </si>
  <si>
    <t>Posilnenie priemyselných kapacít s cieľom podporiť obranné spôsobilosti a uprednostniť spôsobilosti dvojakého použitia</t>
  </si>
  <si>
    <t>Podpora spojovacích vedení a súvisiacej prenosovej, distribučnej, skladovacej a podpornej infraštruktúry, ako aj ochrany kritickej energetickej infraštruktúry a zavádzania nabíjacej infraštruktúry</t>
  </si>
  <si>
    <t>Podpora bezpečného prístupu k vode, udržateľného vodného hospodárstva, vrátane integrovaného vodného hospodárstva, a odolnosti vodných zdrojov</t>
  </si>
  <si>
    <t xml:space="preserve">: v priorite 1P1, špecifickom cieli RSO1.2, opatrení 1.2.2 sa alokácia IÚI-MIRRI SR (EFRR - MRR) znížila o 77 847 EUR (z 12 568 161 EUR na 12 490 314 EUR) </t>
  </si>
  <si>
    <t xml:space="preserve">: v priorite 2P2, špecifickom cieli RSO2.6, opatrení 2.6.1 sa alokácia IÚI-MŽP SR (EFRR - VRR) znížila o 153 985 EUR (z 153 985 EUR na 0 EUR) </t>
  </si>
  <si>
    <t xml:space="preserve">: v priorite 2P3, špecifickom cieli RSO2.8, opatrení 2.8.2 sa alokácia IÚI-MIRRI SR (EFRR - VRR) znížila o 1 800 000 EUR (z 6 000 000 EUR na 4 200 000 EUR) </t>
  </si>
  <si>
    <t xml:space="preserve">: v priorite 4P1, špecifickom cieli RSO4.1 sa alokácia IÚI-MPSVR SR (EFRR - MRR) znížila o 2 272 380 EUR (z 2 272 380 EUR na 0 EUR) </t>
  </si>
  <si>
    <t xml:space="preserve">: v priorite 4P5, špecifickom cieli RSO4.3 sa alokácia IÚI-MPSVR SR (EFRR - VRR) znížila o 5 000 000 EUR (z 5 000 000 EUR na 0 EUR) </t>
  </si>
  <si>
    <t xml:space="preserve">: v priorite 4P5, špecifickom cieli RSO4.3 sa alokácia IÚI-MPSVR SR (EFRR - MRR) znížila o 2 084 986 EUR (z 19 909 821 EUR na 17 824 835 EUR) </t>
  </si>
  <si>
    <t xml:space="preserve">: v priorite 4P5, špecifickom cieli RSO4.5 sa alokácia IÚI-MZ SR (EFRR - VRR) znížila o 1 300 000 EUR (z 4 000 000 EUR na 2 700 000 EUR) </t>
  </si>
  <si>
    <t xml:space="preserve">: v priorite 2P2, špecifickom cieli RSO2.6, opatrení 2.6.1 sa alokácia IÚI-MŽP SR (EFRR - MRR) zvýšila o 835 432 EUR (z 1 411 990 EUR na 2 247 422 EUR) </t>
  </si>
  <si>
    <t xml:space="preserve">: v priorite 2P2, špecifickom cieli RSO2.7, opatrení 2.7.4 sa alokácia IÚI-MIRRI SR (EFRR - VRR) zvýšila o 153 985 EUR (z 9 455 206 EUR na 9 609 191 EUR) </t>
  </si>
  <si>
    <t xml:space="preserve">: v priorite 3P1, špecifickom cieli RSO3.2, opatrení 3.2.3 sa alokácia IÚI-MIRRI SR (EFRR - MRR) zvýšila o 1 015 236 EUR (z 106 054 144 EUR na 107 069 380 EUR) </t>
  </si>
  <si>
    <t xml:space="preserve">: v priorite 3P1, špecifickom cieli RSO3.2, opatrení 3.2.4 sa alokácia IÚI-MIRRI SR (EFRR - MRR) zvýšila o 4 874 624 EUR (z 47 017 894 EUR na 51 892 518 EUR) </t>
  </si>
  <si>
    <t xml:space="preserve">: v priorite 4P5, špecifickom cieli RSO4.5 sa vytvorila alokácia IÚI-MPSVR SR (EFRR - VRR) vo výške 8 100 000 EUR (z 0 EUR na 8 100 000 EUR) </t>
  </si>
  <si>
    <t>: v priorite 2P1, špecifickom cieli RSO2.1, opatrení 2.1.2 sa alokácia IÚI-SIEA (EFRR - MRR) zvýšila o 17 971 728 EUR (z 64 636 447 EUR na 82 608 175 EUR). Zahŕňa aj presun medzi alokáciami KR UMR RS a RP BBSK vo výške 88 166 EUR.</t>
  </si>
  <si>
    <t>: v priorite 2P1, špecifickom cieli RSO2.2, opatrení 2.2.2 sa alokácia IÚI-SIEA (EFRR - MRR) zvýšila o 219 296 EUR (z 7 030 107 EUR na 7 249 403 EUR). Zahŕňa aj presun medzi alokáciami KR UMR RS a RP BBSK vo výške 130 296 EUR.</t>
  </si>
  <si>
    <t>: v priorite 2P1, špecifickom cieli RSO2.1, opatrení 2.1.2 sa alokácia IÚI-UMR-SIEA (EFRR - MRR) znížila o 268 166 EUR (z 70 326 180 EUR na 70 058 014 EUR). Zahŕňa aj presun medzi alokáciami KR UMR RS a RP BBSK vo výške 88 166 EUR.</t>
  </si>
  <si>
    <t>: v priorite 2P1, špecifickom cieli RSO2.2, opatrení 2.2.2 sa alokácia IÚI-UMR-SIEA (EFRR - MRR) znížila o 634 291 EUR (z 6 498 273 EUR na 5 863 982 EUR). Zahŕňa aj presun medzi alokáciami KR UMR RS a RP BBSK vo výške 130 296 EUR.</t>
  </si>
  <si>
    <t xml:space="preserve">: v priorite 2P2, špecifickom cieli RSO2.6, opatrení 2.6.2 sa alokácia IÚI-UMR-MŽP SR (EFRR - VRR) znížila o 1 807 573 EUR (z 2 609 100 EUR na 801 527 EUR) </t>
  </si>
  <si>
    <t xml:space="preserve">: v priorite 2P3, špecifickom cieli RSO2.8, opatrení 2.8.1 sa alokácia IÚI-UMR-MD SR (EFRR - MRR) znížila o 13 784 904 EUR (z 167 539 843 EUR na 153 754 939 EUR) </t>
  </si>
  <si>
    <t xml:space="preserve">: v priorite 3P1, špecifickom cieli RSO3.2, opatrení 3.2.4 sa alokácia IÚI-UMR-MIRRI SR (EFRR - MRR) znížila o 1 733 926 EUR (z 19 074 056 EUR na 17 340 130 EUR) </t>
  </si>
  <si>
    <t xml:space="preserve">: v priorite 5P1, špecifickom cieli RSO5.1, opatrení 5.1.1 sa alokácia IÚI-UMR-MIRRI (EFRR - MRR) znížila o 1 673 765 EUR (z 3 936 734 EUR na 2 262 969 EUR) </t>
  </si>
  <si>
    <t xml:space="preserve">: v priorite 5P1, špecifickom cieli RSO5.1, opatrení 5.1.3 sa alokácia IÚI-UMR-MIRRI (EFRR - MRR) znížila o 356 066 EUR (z 1 892 138 EUR na 1 536 072 EUR) </t>
  </si>
  <si>
    <t>: v priorite 2P1, špecifickom cieli RSO2.1, opatrení 2.1.2 sa alokácia IÚI-UMR-SIEA (EFRR - VRR) zvýšila o 723 029 EUR (z 6 378 065 EUR na 7 101 094 EUR).</t>
  </si>
  <si>
    <t>: v priorite 2P1, špecifickom cieli RSO2.2, opatrení 2.2.2 sa alokácia IÚI-UMR-SIEA (EFRR - MRR) zvýšila o 560 513 EUR (z 5 863 982 EUR na 6 424 495 EUR).</t>
  </si>
  <si>
    <t xml:space="preserve">: v priorite 2P2, špecifickom cieli RSO2.5, opatrení 2.5.3 sa alokácia IÚI-UMR-MIRRI SR (EFRR - MRR) zvýšila o 894 902 EUR (z 3 145 735 EUR na 4 040 637 EUR) </t>
  </si>
  <si>
    <t xml:space="preserve">: v priorite 2P2, špecifickom cieli RSO2.7, opatrení 2.7.4 sa alokácia IÚI-UMR-MIRRI SR (EFRR - VRR) zvýšila o 1 084 544 EUR (z 5 306 791 EUR na 6 391 335 EUR) </t>
  </si>
  <si>
    <t xml:space="preserve">: v priorite 2P3, špecifickom cieli RSO2.8, opatrení 2.8.1 sa alokácia IÚI-UMR-MD SR (EFRR - MRR) zvýšila o 150 000 EUR (z 153 754 939 EUR na 153 904 939 EUR) </t>
  </si>
  <si>
    <t xml:space="preserve">: v priorite 3P1, špecifickom cieli RSO3.2, opatrení 3.2.4 sa alokácia IÚI-UMR-MIRRI SR (EFRR - MRR) zvýšila o 5 251 943 EUR (z 17 340 130 EUR na 22 592 073 EUR) </t>
  </si>
  <si>
    <t>presun "retail"</t>
  </si>
  <si>
    <t>2.1.4</t>
  </si>
  <si>
    <t>Podpora energetickej efektívnosti v domácnostiam - rýchle opatrenia</t>
  </si>
  <si>
    <t>opatrenie 2.1.4</t>
  </si>
  <si>
    <t xml:space="preserve">: v priorite 4P5, špecifickom cieli RSO4.3 sa alokácia G-MPSVR SR (EFRR -MRR) zvýšila o 576 807 EUR (z 2 720 000 EUR na 3 296 807 EUR) </t>
  </si>
  <si>
    <t xml:space="preserve">: v priorite 2P2, špecifickom cieli RSO2.5, opatrení 2.5.4 sa alokácia IÚI-MŽP SR (EFRR - MRR) znížila o 2 142 901 EUR (z 7 175 056 EUR na 5 032 155 EUR) </t>
  </si>
  <si>
    <t xml:space="preserve">: v priorite 2P2, špecifickom cieli RSO2.5, opatrení 2.5.4 sa alokácia MRK-ÚV SR (EFRR - MRR) znížila o 3 800 000 EUR (z 7 000 000 EUR na 3 200 000 EUR) </t>
  </si>
  <si>
    <t xml:space="preserve">: v priorite 2P2, špecifickom cieli RSO2.5, opatrení 2.5.5 sa alokácia IÚI-MIRRI SR (EFRR - MRR) znížila o 1 277 661 EUR (z 13 600 000 EUR na 11 783 159 EUR) </t>
  </si>
  <si>
    <t xml:space="preserve">: v priorite 2P2, špecifickom cieli RSO2.5, opatrení 2.5.5 sa alokácia IÚI-MIRRI SR (EFRR - MRR) zvýšila o 276 927 EUR (z 11 783 159 EUR na 12 060 086 EUR) </t>
  </si>
  <si>
    <t xml:space="preserve">: v priorite 2P2, špecifickom cieli RSO2.5, opatrení 2.5.7 sa alokácia IÚI-MŽP SR (EFRR - MRR) znížila o 6 177 625 EUR (z 43 176 406 EUR na 36 998 781 EUR) </t>
  </si>
  <si>
    <t xml:space="preserve">: v priorite 2P2, špecifickom cieli RSO2.5, opatrení 2.5.7 sa alokácia IÚI-MŽP SR (EFRR - MRR) zvýšila o 3 028 244 EUR (z 36 998 781 EUR na 40 027 025 EUR) </t>
  </si>
  <si>
    <t>Program Slovensko 2021 - 2027, verzia 4.0 (v EUR) (9. december 2025)
(zahŕňa alokačnú tabuľku 4.1, 4.2, 4.4)</t>
  </si>
  <si>
    <t>Verzia 4.1: Zmena v porovnaní s verziou 3.5 z 18.03.2025 - presuny alokácií v rámci priority 8P1 (schválené MV 09.12.2025):</t>
  </si>
  <si>
    <t>: v priorite 8P1, špecifickom cieli JSO8.1, opatrení 8.2.1 sa alokácia G-SIEA (FST) zvýšila o 10 556 693 EUR (z 16 828 201 EUR na 27 384 894 EUR)</t>
  </si>
  <si>
    <t>: v priorite 8P1, špecifickom cieli JSO8.1, opatrení 8.2.1 sa alokácia G-MŽP SR (FST) znížila o 10 556 693 EUR (z 10 556 639 EUR na 0 EUR)</t>
  </si>
  <si>
    <t>Verzia 4.2: Zmena v porovnaní s verziou 3.5 z 18.03.2025 - presuny alokácií v programe v nadväznosti na zmenu programu pri MTR II (schválené MV 09.12.2025):</t>
  </si>
  <si>
    <t>: v priorite 1P1, špecifickom cieli RSO1.1, opatrení 1.1.1 sa alokácia G-MH SR (EFRR - VRR) znížila o 5 000 000 EUR (z 31 231 225 EUR na 26 231 225 EUR)</t>
  </si>
  <si>
    <t>presun MPS</t>
  </si>
  <si>
    <t>: v priorite 1P1, špecifickom cieli RSO1.1, opatrení 1.1.1 sa alokácia IÚI-MIRRI SR (EFRR - MRR) znížila o 845 370 EUR (z 48 291 514 EUR na 47 446 144 EUR)</t>
  </si>
  <si>
    <t>presun ITI MPS</t>
  </si>
  <si>
    <t>: v priorite 1P1, špecifickom cieli RSO1.1, opatrení 1.1.1 sa alokácia IÚI-UMR-MIRRI SR (EFRR - MRR) znížila o 360 406 EUR (z 12 822 662 EUR na 12 462 256 EUR)</t>
  </si>
  <si>
    <t>: v priorite 1P1, špecifickom cieli RSO1.1, opatrení 1.1.2 sa alokácia G-MŠVVM SR (EFRR - VRR) znížila o 3 839 745 EUR (z 12 100 000 EUR na 8 260 255 EUR)</t>
  </si>
  <si>
    <t>: v priorite 1P1, špecifickom cieli RSO1.1, opatrení 1.1.2 sa alokácia G-MŠVVM SR (EFRR - MRR) znížila o 52 402 486 EUR (z 129 650 000 EUR na 77 247 514 EUR)</t>
  </si>
  <si>
    <t>: v priorite 1P1, špecifickom cieli RSO1.1, opatrení 1.1.3 sa alokácia G-MH SR (EFRR - MRR) znížila o 3 100 000 EUR (z 13 188 554 EUR na 10 088 554 EUR)</t>
  </si>
  <si>
    <t>: v priorite 1P1, špecifickom cieli RSO1.1, opatrení 1.1.4 sa alokácia G-MZ SR (EFRR - MRR) znížila o 32 572 581 EUR (z 150 000 000 EUR na 117 427 419 EUR)</t>
  </si>
  <si>
    <t>: v priorite 1P1, špecifickom cieli RSO1.2, opatrení 1.2.1 sa alokácia G-MIRRI SR (EFRR - VRR) znížila o 2 986 832 EUR (z 18 660 000 EUR na 15 673 168 EUR)</t>
  </si>
  <si>
    <t>: v priorite 1P1, špecifickom cieli RSO1.2, opatrení 1.2.1 sa alokácia G-MIRRI SR (EFRR - MRR) znížila o 42 958 713 EUR (z 230 390 000 EUR na 187 431 287 EUR)</t>
  </si>
  <si>
    <t>: v priorite 1P1, špecifickom cieli RSO1.2, opatrení 1.2.2 sa alokácia G-MIRRI SR (EFRR - VRR) znížila o 789 495 EUR (z 1 300 000 EUR na 510 505 EUR)</t>
  </si>
  <si>
    <t>: v priorite 1P1, špecifickom cieli RSO1.2, opatrení 1.2.2 sa alokácia G-MIRRI SR (EFRR -MRR) znížila o 20 419 466 EUR (z 40 000 000 EUR na 19 580 534 EUR)</t>
  </si>
  <si>
    <t>: v priorite 1P1, špecifickom cieli RSO1.2, opatrení 1.2.2 sa alokácia IÚI-UMR-MIRRI SR (EFRR - MRR) znížila o 4 308 059 EUR (z 51 917 151 EUR na 47 609 092 EUR)</t>
  </si>
  <si>
    <t>: v priorite 1P1, špecifickom cieli RSO1.3, opatrení 1.3.1 sa alokácia G-MH SR (EFRR - VRR) znížila o 2 417 629 EUR (z 3 915 574 EUR na 1 497 945 EUR)</t>
  </si>
  <si>
    <t>: v priorite 1P1, špecifickom cieli RSO1.3, opatrení 1.3.1 sa alokácia G-MH SR (EFRR - MRR) znížila o 63 861 742 EUR (z 71 384 426 EUR na 7 522 684 EUR)</t>
  </si>
  <si>
    <t>: v priorite 1P1, špecifickom cieli RSO1.3, opatrení 1.3.2 sa alokácia G-MH SR (EFRR - VRR) znížila o 194 958 EUR (z 3 000 000 EUR na 2 805 042 EUR)</t>
  </si>
  <si>
    <t>: v priorite 1P1, špecifickom cieli RSO1.3, opatrení 1.3.2 sa alokácia G-MH SR (EFRR - MRR) znížila o 909 806 EUR (z 14 000 000 EUR na 13 090 194 EUR)</t>
  </si>
  <si>
    <t>: v priorite 1P1, špecifickom cieli RSO1.3, opatrení 1.3.3 sa alokácia G-MH SR (EFRR - VRR) znížila o 1 907 952 EUR (z 2 000 000 EUR na 92 048 EUR)</t>
  </si>
  <si>
    <t>: v priorite 1P1, špecifickom cieli RSO1.3, opatrení 1.3.3 sa alokácia G-MH SR (EFRR - MRR) znížila o 6 712 677 EUR (z 7 500 000 EUR na 787 323 EUR)</t>
  </si>
  <si>
    <t>: v priorite 1P1, špecifickom cieli RSO1.4, opatrení 1.4.1 sa alokácia G-MŠVVM SR (EFRR - MRR) znížila o 16 800 000 EUR (z 121 664 601 EUR na 104 864 601 EUR)</t>
  </si>
  <si>
    <t>: v priorite 1P1, špecifickom cieli RSO1.4, opatrení 1.4.1 sa alokácia IÚI-MIRRI SR (EFRR - MRR) znížila o 2 862 225 EUR (z 45 600 512 EUR na 42 738 287 EUR)</t>
  </si>
  <si>
    <t>: v priorite 1P1, špecifickom cieli RSO1.4, opatrení 1.4.2 sa alokácia G-MIRRI SR (EFRR - VRR) znížila o 1 072 443 EUR (z 6 700 000 EUR na 5 627 557 EUR)</t>
  </si>
  <si>
    <t>: v priorite 1P1, špecifickom cieli RSO1.4, opatrení 1.4.2 sa alokácia G-MIRRI SR (EFRR - MRR) znížila o 3 737 740 EUR (z 23 300 000 EUR na 19 562 260 EUR)</t>
  </si>
  <si>
    <t>: v priorite 1P2, špecifickom cieli RSO1.5, opatrení 1.5.1 sa alokácia G-MIRRI SR (EFRR - VRR) znížila o 3 408 833 EUR (z 5 000 000 EUR na 1 591 167 EUR)</t>
  </si>
  <si>
    <t>: v priorite 1P2, špecifickom cieli RSO1.5, opatrení 1.5.1 sa alokácia G-MIRRI SR (EFRR - MRR) znížila o 84 981 760 EUR (z 107 100 000 EUR na 22 118 240 EUR)</t>
  </si>
  <si>
    <t xml:space="preserve">: v priorite 2P1, špecifickom cieli RSO2.1, opatrení 2.1.3 sa alokácia G-SIEA (EFRR - VRR) znížila o 1 413 510 EUR (z 12 575 000 EUR na 11 161 490 EUR) </t>
  </si>
  <si>
    <t xml:space="preserve">: v priorite 2P1, špecifickom cieli RSO2.1, opatrení 2.1.3 sa alokácia G-SIEA (EFRR - MRR) znížila o 17 923 141 EUR (z 32 025 000 EUR na 14 101 859 EUR) </t>
  </si>
  <si>
    <t xml:space="preserve">: v priorite 2P1, špecifickom cieli RSO2.2, opatrení 2.2.2 sa alokácia G-SIEA (EFRR - VRR) znížila o 5 204 723 EUR (z 11 748 030 EUR na 6 543 307 EUR) </t>
  </si>
  <si>
    <t xml:space="preserve">: v priorite 2P1, špecifickom cieli RSO2.2, opatrení 2.2.2 sa alokácia G-SIEA (EFRR - MRR) znížila o 92 817 873 EUR (z 112 462 065 EUR na 19 644 192 EUR) </t>
  </si>
  <si>
    <t xml:space="preserve">: v priorite 2P1, špecifickom cieli RSO2.2, opatrení 2.2.2 sa alokácia IÚI-UMR-SIEA (EFRR - VRR) znížila o 1 848 071 EUR (z 1 968 070 EUR na 119 999 EUR) </t>
  </si>
  <si>
    <t xml:space="preserve">: v priorite 2P1, špecifickom cieli RSO2.2, opatrení 2.2.3 sa alokácia G-SIEA (EFRR - VRR) znížila o 19 835 770 EUR (z 28 054 000 EUR na 8 218 230 EUR) </t>
  </si>
  <si>
    <t xml:space="preserve">: v priorite 2P1, špecifickom cieli RSO2.2, opatrení 2.2.3 sa alokácia G-SIEA (EFRR - MRR) zvýšila o 20 106 683 EUR (z 114 551 649 EUR na 134 658 332 EUR) </t>
  </si>
  <si>
    <t xml:space="preserve">: v priorite 2P1, špecifickom cieli RSO2.2, opatrení 2.2.4 sa alokácia IÚI-UMR-SIEA (EFRR - MRR) znížila o 3 096 436 EUR (z 13 096 436 EUR na 10 000 000 EUR) </t>
  </si>
  <si>
    <t xml:space="preserve">: v priorite 2P1, špecifickom cieli RSO2.3, opatrení 2.3.1 sa alokácia G-SIEA (EFRR - VRR) znížila o 8 242 334 EUR (z 9 195 300 EUR na 952 966 EUR) </t>
  </si>
  <si>
    <t xml:space="preserve">: v priorite 2P1, špecifickom cieli RSO2.3, opatrení 2.3.1 sa alokácia G-SIEA (EFRR - MRR) znížila o 11 740 465 EUR (z 24 704 700 EUR na 12 964 235 EUR) </t>
  </si>
  <si>
    <t xml:space="preserve">: v priorite 2P2, špecifickom cieli RSO2.4, opatrení 2.4.1 sa alokácia IÚI-MŽP SR (EFRR - MRR) znížila o 289 549 EUR (z 10 115 361 EUR na 9 825 812 EUR) </t>
  </si>
  <si>
    <t xml:space="preserve">: v priorite 2P2, špecifickom cieli RSO2.4, opatrení 2.4.1 sa alokácia IÚI-UMR-MŽP SR (EFRR - MRR) znížila o 3 476 089 EUR (z 30 263 645 EUR na 26 787 556 EUR) </t>
  </si>
  <si>
    <t xml:space="preserve">: v priorite 2P2, špecifickom cieli RSO2.4, opatrení 2.4.4 sa alokácia G-MŽP SR (Kohézny fond) znížila o 30 200 000 EUR (z 90 465 241 EUR na 60 265 241 EUR) </t>
  </si>
  <si>
    <t xml:space="preserve">: v priorite 2P2, špecifickom cieli RSO2.4, opatrení 2.4.8 sa alokácia G-MV SR (EFRR - MRR) znížila o 8 677 179 EUR (z 77 200 000 EUR na 68 522 821 EUR) </t>
  </si>
  <si>
    <t xml:space="preserve">: v priorite 2P2, špecifickom cieli RSO2.5, opatrení 2.5.2 sa alokácia IÚI-MŽP SR (EFRR - MRR) znížila o 858 654 EUR (z 27 678 354 EUR na 26 819 700 EUR) </t>
  </si>
  <si>
    <t xml:space="preserve">: v priorite 2P2, špecifickom cieli RSO2.5, opatrení 2.5.3 sa alokácia IÚI-MIRRI SR (EFRR - MRR) znížila o 539 180 EUR (z 19 000 000 EUR na 18 460 820 EUR) </t>
  </si>
  <si>
    <t xml:space="preserve">: v priorite 2P2, špecifickom cieli RSO2.5, opatrení 2.5.5 sa alokácia IÚI-MIRRI SR (EFRR - MRR) znížila o 539 180 EUR (z 13 600 000 EUR na 13 060 820 EUR) </t>
  </si>
  <si>
    <t xml:space="preserve">: v priorite 2P2, špecifickom cieli RSO2.5, opatrení 2.5.7 sa alokácia IÚI-MŽP SR (EFRR - MRR) znížila o 993 624 EUR (z 44 170 030 EUR na 43 176 406 EUR) </t>
  </si>
  <si>
    <t xml:space="preserve">: v priorite 2P2, špecifickom cieli RSO2.5, opatrení 2.5.7 sa alokácia IÚI-UMR-MŽP SR (EFRR - MRR) znížila o 7 958 EUR (z 3 152 213 EUR na 3 144 255 EUR) </t>
  </si>
  <si>
    <t xml:space="preserve">: v priorite 2P2, špecifickom cieli RSO2.5, opatrení 2.5.8 sa alokácia IÚI-MŽP SR (EFRR - MRR) znížila o 554 904 EUR (z 44 946 000 EUR na 44 391 096 EUR) </t>
  </si>
  <si>
    <t xml:space="preserve">: v priorite 2P2, špecifickom cieli RSO2.6, opatrení 2.6.1 sa alokácia G-MŽP SR (EFRR - MRR) znížila o 1 296 000 EUR (z 3 120 332 EUR na 1 824 332 EUR) </t>
  </si>
  <si>
    <t xml:space="preserve">: v priorite 2P2, špecifickom cieli RSO2.6, opatrení 2.6.1 sa alokácia IÚI-UMR-MŽP SR (EFRR - MRR) znížila o 154 703 EUR (z 780 755 EUR na 626 052 EUR) </t>
  </si>
  <si>
    <t xml:space="preserve">: v priorite 2P2, špecifickom cieli RSO2.6, opatrení 2.6.2 sa alokácia IÚI-MŽP SR (EFRR - MRR) znížila o 214 282 EUR (z 19 201 722 EUR na 18 987 440 EUR) </t>
  </si>
  <si>
    <t xml:space="preserve">: v priorite 2P2, špecifickom cieli RSO2.6, opatrení 2.6.2 sa alokácia IÚI-UMR-MŽP SR (EFRR - MRR) znížila o 1 600 000 EUR (z 13 639 720 EUR na 12 039 720 EUR) </t>
  </si>
  <si>
    <t xml:space="preserve">: v priorite 2P2, špecifickom cieli RSO2.6, opatrení 2.6.2 sa alokácia MRK-ÚV SR (EFRR - MRR) znížila o 6 000 000 EUR (z 18 000 000 EUR na 12 000 000 EUR) </t>
  </si>
  <si>
    <t xml:space="preserve">: v priorite 2P2, špecifickom cieli RSO2.6, opatrení 2.6.3 sa alokácia G-MŽP SR (EFRR - MRR) znížila o 6 204 000 EUR (z 74 157 555 EUR na 67 953 555 EUR) </t>
  </si>
  <si>
    <t xml:space="preserve">: v priorite 2P2, špecifickom cieli RSO2.6, opatrení 2.6.3 sa alokácia IÚI-MŽP SR (EFRR - MRR) znížila o 1 761 051 EUR (z 13 015 673 EUR na 11 254 622 EUR) </t>
  </si>
  <si>
    <t xml:space="preserve">: v priorite 2P2, špecifickom cieli RSO2.6, opatrení 2.6.3 sa alokácia IÚI-UMR-MŽP SR (EFRR - MRR) znížila o 1 906 724 EUR (z 5 801 161 EUR na 3 894 437 EUR) </t>
  </si>
  <si>
    <t xml:space="preserve">: v priorite 2P2, špecifickom cieli RSO2.6, opatrení 2.6.4 sa alokácia G-MŽP SR (EFRR - MRR) znížila o 2 100 000 EUR (z 2 100 000 EUR na 0 EUR) </t>
  </si>
  <si>
    <t xml:space="preserve">: v priorite 2P2, špecifickom cieli RSO2.6, opatrení 2.6.5 sa alokácia G-MŽP SR (EFRR - MRR) znížila o 200 000 EUR (z 1 000 000 EUR na 800 000 EUR) </t>
  </si>
  <si>
    <t xml:space="preserve">: v priorite 2P2, špecifickom cieli RSO2.7, opatrení 2.7.3 sa alokácia IÚI-UMR-MŽP SR (EFRR - MRR) znížila o 31 308 EUR (z 2 392 565 EUR na 2 361 257 EUR) </t>
  </si>
  <si>
    <t xml:space="preserve">: v priorite 2P2, špecifickom cieli RSO2.7, opatrení 2.7.4 sa alokácia IÚI-MIRRI SR (EFRR - MRR) znížila o 1 197 987 EUR (z 19 666 025 EUR na 18 468 038 EUR) </t>
  </si>
  <si>
    <t xml:space="preserve">: v priorite 2P2, špecifickom cieli RSO2.7, opatrení 2.7.4 sa alokácia IÚI-UMR-MIRRI SR (EFRR - MRR) znížila o 622 891 EUR (z 83 305 102 EUR na 82 682 211 EUR) </t>
  </si>
  <si>
    <t xml:space="preserve">: v priorite 2P2, špecifickom cieli RSO2.7, opatrení 2.7.6 sa alokácia G-MŽP SR (Kohézny fond) znížila o 10 100 000 EUR (z 10 100 000 EUR na 0 EUR) </t>
  </si>
  <si>
    <t xml:space="preserve">: v priorite 2P2, špecifickom cieli RSO2.7, opatrení 2.7.7 sa alokácia G-MŽP SR (Kohézny fond) znížila o 49 900 000 EUR (z 239 118 586 EUR na 189 218 586 EUR) </t>
  </si>
  <si>
    <t xml:space="preserve">: v priorite 2P2, špecifickom cieli RSO2.7, v opatrení 2.7.10 sa alokácia G-MIRRI SR (EFRR - MRR) znížila o 19 804 608 EUR (z 21 500 000 EUR na 1 695 392 EUR) </t>
  </si>
  <si>
    <t xml:space="preserve">: v priorite 2P3, špecifickom cieli RSO2.8, opatrení 2.8.1 sa alokácia IÚI-MD SR (EFRR - MRR) znížila o 7 326 237 EUR (z 149 057 549 EUR na 141 731 312 EUR) </t>
  </si>
  <si>
    <t xml:space="preserve">: v priorite 2P3, špecifickom cieli RSO2.8, opatrení 2.8.2 sa alokácia IÚI-MIRRI SR (EFRR - MRR) znížila o 427 211 EUR (z 70 112 690 EUR na 69 685 479 EUR) </t>
  </si>
  <si>
    <t xml:space="preserve">: v priorite 2P3, špecifickom cieli RSO2.8, opatrení 2.8.2 sa alokácia IÚI-UMR-MIRRI SR (EFRR - MRR) znížila o 893 414 EUR (z 38 931 777 EUR na 38 038 363 EUR) </t>
  </si>
  <si>
    <t>: v priorite 2P3, špecifickom cieli RSO2.8, opatrení 2.8.3 sa alokácia IÚI-MD SR (Kohézny fond) znížila o 7 650 000 EUR (z 71 209 000 EUR na 63 559 000 EUR)</t>
  </si>
  <si>
    <t xml:space="preserve">: v priorite 3P1, špecifickom cieli RSO3.1, opatrení 3.1.2 sa alokácia G-MD SR (Kohézny fond) znížila o 17 000 000 EUR (z 744 342 184 EUR na 727 342 184 EUR) </t>
  </si>
  <si>
    <t xml:space="preserve">: v priorite 3P1, špecifickom cieli RSO3.2, v opatrení 3.2.3 sa alokácia G-MIRRI SR (EFRR - MRR) znížila o 5 474 801 EUR (z 30 967 103 EUR na 25 492 302 EUR) </t>
  </si>
  <si>
    <t>: v priorite 4P1, špecifickom cieli RSO4.1 sa alokácia G-MPSVR SR (EFRR - VRR) zvýšila o 2 000 000 EUR (z 232 898 EUR na 2 232 898 EUR)</t>
  </si>
  <si>
    <t>: v priorite 4P1, špecifickom cieli RSO4.1 sa alokácia G-MPSVR SR (EFRR - MRR) znížila o 12 911 261 EUR (z 27 973 552 EUR na 15 062 291 EUR)</t>
  </si>
  <si>
    <t>: v priorite 4P2, špecifickom cieli RSO4.2 sa alokácia IÚI-MIRRI SR (EFRR - MRR) znížila o 220 712 EUR (z 191 340 512 EUR na 191 119 800 EUR)</t>
  </si>
  <si>
    <t>: v priorite 4P2, špecifickom cieli RSO4.2 sa alokácia IÚI-UMR-MIRRI SR (EFRR - MRR) znížila o 697 417 EUR (z 36 148 961 EUR na 35 451 544 EUR)</t>
  </si>
  <si>
    <t>: v priorite 4P2, špecifickom cieli ESO4.6 sa alokácia G-MŠVVM SR (ESF+ - MRR) zvýšila o 27 977 409 EUR (z 119 366 000 EUR na 147 343 409 EUR)</t>
  </si>
  <si>
    <t>presun medzi fondami</t>
  </si>
  <si>
    <t>: v priorite 4P4, špecifickom cieli ESO4.6 sa alokácia G-MŠVVM SR (ESF+ - MRR) zvýšila o 4 349 859 EUR (z 2 647 170 EUR na 6 997 029 EUR)</t>
  </si>
  <si>
    <t>navýšenie tem. koncentrácie</t>
  </si>
  <si>
    <t>: v priorite 4P5, špecifickom cieli RSO4.3 sa alokácia MRK-ÚV SR (EFRR - MRR) znížila o 5 000 000 EUR (z 5 000 000 EUR na 0 EUR)</t>
  </si>
  <si>
    <t>: v priorite 4P5, špecifickom cieli RSO4.5 sa alokácia G-MPSVR SR (EFRR - VRR) zvýšila o 1 000 000 EUR (z 3 650 000 EUR na 4 650 000 EUR)</t>
  </si>
  <si>
    <t>: v priorite 4P5, špecifickom cieli RSO4.5 sa alokácia G-MPSVR SR (EFRR - MRR) znížila o 14 505 631 EUR (z 45 920 000 EUR na 31 414 369 EUR)</t>
  </si>
  <si>
    <t>: v priorite 4P5, špecifickom cieli RSO4.5 sa alokácia G-MZ SR (EFRR - MRR) znížila o 20 000 000 EUR (z 81 500 000 EUR na 61 500 000 EUR)</t>
  </si>
  <si>
    <t>: v priorite 4P5, špecifickom cieli RSO4.5 sa alokácia IÚI-MPSVR SR (EFRR - MRR) znížila o 1 157 870 EUR (z 46 143 724 EUR na 44 985 854 EUR)</t>
  </si>
  <si>
    <t>: v priorite 4P5, špecifickom cieli RSO4.5 sa alokácia IÚI-MZ SR (EFRR - MRR) znížila o 871 394 EUR (z 18 216 901 EUR na 17 345 507 EUR)</t>
  </si>
  <si>
    <t>: v priorite 4P5, špecifickom cieli RSO4.6 sa alokácia G-MIRRI SR (EFRR - MRR) znížila o 136 392 861 EUR (z 234 150 000 na 97 757 139 EUR)</t>
  </si>
  <si>
    <t>: v priorite 4P5, špecifickom cieli ESO4.8 sa alokácia G-MPSVR SR (ESF+ - MRR) znížila o 1 043 597 EUR (z 92 255 000 EUR na 91 211 403 EUR)</t>
  </si>
  <si>
    <t>: v priorite 4P5, špecifickom cieli ESO4.11 sa alokácia G-MZ SR (ESF+ - VRR) znížila o 950 000 EUR (z 1 441 721 EUR na 491 721 EUR)</t>
  </si>
  <si>
    <t>: v priorite 4P6, špecifickom cieli RSO4.3 sa alokácia MRK-ÚV SR (EFRR - MRR) znížila o 19 000 000 EUR (z 99 000 000 EUR na 80 000 000 EUR)</t>
  </si>
  <si>
    <t>: v priorite 4P7, špecifickom cieli ESO4.6 sa alokácia G-MPSVR SR (ESF+ - MRR) zvýšila o 1 043 597 EUR (z 14 427 000 EUR na 15 470 597 EUR)</t>
  </si>
  <si>
    <t>: v priorite 4P8, špecifickom cieli ESO4.13 sa alokácia G-MPSVR SR (ESF+ - MRR) zvýšila o 1 043 597 EUR (z 68 153 000 EUR na 69 196 597 EUR)</t>
  </si>
  <si>
    <t>: v priorite 5P1, špecifickom cieli RSO5.1, opatrení 5.1.2 sa alokácia IÚI-UMR-MIRRI SR (EFRR - MRR) znížila o 170 000 EUR (z 2 704 597 EUR na 2 534 597 EUR)</t>
  </si>
  <si>
    <t>: v priorite 5P1, špecifickom cieli RSO5.1, opatrení 5.1.4 sa alokácia IÚI-UMR-MIRRI SR (EFRR - MRR) znížila o 2 762 772 EUR (z 31 967 731 EUR na 29 204 959 EUR)</t>
  </si>
  <si>
    <t>: v priorite 5P1, špecifickom cieli RSO5.2, opatrení 5.2.1 sa alokácia IÚI-MIRRI SR (EFRR - MRR) znížila o 2 501 722 EUR (z 10 870 159 EUR na 8 368 437 EUR)</t>
  </si>
  <si>
    <t>: v priorite 5P1, špecifickom cieli RSO5.2, opatrení 5.2.2 sa alokácia IÚI-MIRRI SR (EFRR - MRR) znížila o 660 000 EUR (z 5 061 968 EUR na 4 401 968 EUR)</t>
  </si>
  <si>
    <t>: v priorite 5P1, špecifickom cieli RSO5.2, opatrení 5.2.3 sa alokácia IÚI-MIRRI SR (EFRR - MRR) znížila o 59 740 EUR (z 1 686 905 EUR na 1 627 165 EUR)</t>
  </si>
  <si>
    <t>: v priorite 5P1, špecifickom cieli RSO5.2, opatrení 5.2.4 sa alokácia IÚI-MIRRI SR (EFRR - MRR) znížila o 304 750 EUR (z 40 718 898 EUR na 40 414 148 EUR)</t>
  </si>
  <si>
    <t>: v priorite 5P1, špecifickom cieli RSO5.2, opatrení 5.2.5 sa alokácia IÚI-MIRRI SR (EFRR - MRR) znížila o 3 118 850 EUR (z 156 611 790 EUR na 153 492 940 EUR)</t>
  </si>
  <si>
    <t>: v priorite 7P1, špecifickom cieli TSO7.1, opatrení 7.1.1 sa alokácia G-MIRRI SR (EFRR - MRR) znížila o 1 262 135 EUR (z 255 696 315 EUR na 254 434 180 EUR)</t>
  </si>
  <si>
    <t>: v priorite 7P3, špecifickom cieli TSO7.3, opatrení 7.3.1 sa alokácia G-MIRRI SR (ESF+ - MRR) zvýšila o 1 262 135 EUR (z 84 543 983 EUR na 85 806 118 EUR)</t>
  </si>
  <si>
    <t xml:space="preserve">: v priorite 1P4, špecifickom cieli RSO1.6 sa vytvorila alokácia G-MH SR (EFRR - VRR) vo výške 9 520 539 EUR </t>
  </si>
  <si>
    <t xml:space="preserve">: v priorite 1P4, špecifickom cieli RSO1.6 sa vytvorila alokácia G-MH SR (EFRR - MRR) vo výške 20 479 461 EUR </t>
  </si>
  <si>
    <t xml:space="preserve">: v priorite 1P4, špecifickom cieli RSO1.6 sa vytvorila alokácia G-MŠVVM SR (EFRR - VRR) vo výške 3 839 745 EUR </t>
  </si>
  <si>
    <t xml:space="preserve">: v priorite 1P4, špecifickom cieli RSO1.6 sa vytvorila alokácia G-MŠVVM SR (EFRR - MRR) vo výške 18 160 255 EUR </t>
  </si>
  <si>
    <t xml:space="preserve">: v priorite 1P4, špecifickom cieli RSO1.6 sa vytvorila alokácia G-MZ SR (EFRR - VRR) vo výške 12 000 000 EUR </t>
  </si>
  <si>
    <t xml:space="preserve">: v priorite 1P4, špecifickom cieli RSO1.6 sa vytvorila alokácia G-MZ SR (EFRR - MRR) vo výške 20 155 689 EUR </t>
  </si>
  <si>
    <t xml:space="preserve">: v priorite 1P5, špecifickom cieli RSO1.7 sa vytvorila alokácia G-MIRRI SR (EFRR - VRR) vo výške 789 495 EUR </t>
  </si>
  <si>
    <t xml:space="preserve">: v priorite 1P5, špecifickom cieli RSO1.7 sa vytvorila alokácia G-MIRRI SR (EFRR - MRR) vo výške 20 419 466 EUR </t>
  </si>
  <si>
    <t xml:space="preserve">: v priorite 2P1, špecifickom cieli RSO2.1, opatrení 2.1.4 sa vytvorila alokácia G-SIEA SR (EFRR - VRR) vo výške 3 000 000 EUR </t>
  </si>
  <si>
    <t>kompenzácia VRR-MRR</t>
  </si>
  <si>
    <t xml:space="preserve">: v priorite 2P1, špecifickom cieli RSO2.1, opatrení 2.1.4 sa vytvorila alokácia G-SIEA SR (EFRR - MRR) vo výške 12 000 000 EUR </t>
  </si>
  <si>
    <t xml:space="preserve">: v priorite 2P4, špecifickom cieli RSO2.5 sa vytvorila alokácia G-MŽP SR (Kohézny fond) vo výške 60 000 000 EUR </t>
  </si>
  <si>
    <t xml:space="preserve">: v priorite 2P4, špecifickom cieli RSO2.5 sa vytvorila alokácia IÚI-MIRRI SR (EFRR - MRR) vo výške 1 540 237 EUR </t>
  </si>
  <si>
    <t xml:space="preserve">: v priorite 2P4, špecifickom cieli RSO2.5 sa vytvorila alokácia IÚI-UMR-MIRRI SR (EFRR - MRR) vo výške 1 225 000 EUR </t>
  </si>
  <si>
    <t xml:space="preserve">: v priorite 2P5, špecifickom cieli RSO2.11 sa vytvorila alokácia G-SIEA (EFRR -VRR) vo výške 3 000 000 EUR </t>
  </si>
  <si>
    <t xml:space="preserve">: v priorite 2P5, špecifickom cieli RSO2.11 sa vytvorila alokácia G-SIEA (EFRR - MRR) vo výške 21 000 000 EUR </t>
  </si>
  <si>
    <t xml:space="preserve">: v priorite 2P6, špecifickom cieli RSO2.12 sa vytvorila alokácia G-SIEA (EFRR - VRR) vo výške 13 696 337 EUR </t>
  </si>
  <si>
    <t xml:space="preserve">: v priorite 2P6, špecifickom cieli RSO2.12 sa vytvorila alokácia G-SIEA (EFRR - MRR) vo výške 5 803 663 EUR </t>
  </si>
  <si>
    <t xml:space="preserve">: v priorite 3P2, špecifickom cieli RSO3.3 sa vytvorila alokácia G-MIRRI SR (EFRR - VRR) vo výške 7 468 108 EUR </t>
  </si>
  <si>
    <t xml:space="preserve">: v priorite 3P2, špecifickom cieli RSO3.3 sa vytvorila alokácia G-MIRRI SR (EFRR - MRR) vo výške 75 552 668 EUR </t>
  </si>
  <si>
    <t xml:space="preserve">: v priorite 3P2, špecifickom cieli RSO3.3 sa vytvorila alokácia G-MD SR (EFRR - MRR) vo výške 389 124 477 EUR </t>
  </si>
  <si>
    <t xml:space="preserve">: v priorite 3P2, špecifickom cieli RSO3.3 sa vytvorila alokácia G-MD SR (Kohézny fond) vo výške 47 200 000 EUR </t>
  </si>
  <si>
    <t xml:space="preserve">: v priorite 4P9, špecifickom cieli RSO4.7 sa vytvorila alokácia MRK-ÚV SR (EFRR - MRR) vo výške 30 000 000 EUR </t>
  </si>
  <si>
    <t xml:space="preserve">: v priorite 4P10, špecifickom cieli ESO4.7 sa vytvorila alokácia G-MZ SR (ESF+ - VRR) vo výške 950 000 EUR </t>
  </si>
  <si>
    <t xml:space="preserve">: v priorite 4P10, špecifickom cieli ESO4.7 sa vytvorila alokácia G-MZ SR (ESF+ - MRR) vo výške 1 428 000 EUR </t>
  </si>
  <si>
    <t xml:space="preserve">: v priorite 5P3, špecifickom cieli RSO5.4 sa vytvorila alokácia IÚI-UMR-MIRRI SR (EFRR - VRR) vo výške 848 071 EUR </t>
  </si>
  <si>
    <t xml:space="preserve">: v priorite 5P3, špecifickom cieli RSO5.4 sa vytvorila alokácia IÚI-UMR-MIRRI SR (EFRR - MRR) vo výške 2 206 409 EUR </t>
  </si>
  <si>
    <t xml:space="preserve">: v priorite 1P1, špecifickom cieli RSO1.1, opatrení 1.1.1 sa alokácia IÚI-MIRRI SR (EFRR -MRR) znížila o 10 821 946 EUR (z 47 446 144 EUR na 36 624 198 EUR) </t>
  </si>
  <si>
    <t xml:space="preserve">: v priorite 1P1, špecifickom cieli RSO1.1, opatrení 1.1.1 sa alokácia IÚI-UMR-MIRRI SR (EFRR -MRR) znížila o 5 146 836 EUR (z 12 462 256 EUR na 7 315 420 EUR) </t>
  </si>
  <si>
    <t xml:space="preserve">: v priorite 1P1, špecifickom cieli RSO1.1, opatrení 1.1.2 sa alokácia G-MŠVVM SR (EFRR - VRR) znížila o 8 260 255 EUR (z 8 260 255 EUR na 0 EUR) </t>
  </si>
  <si>
    <t xml:space="preserve">: v priorite 1P1, špecifickom cieli RSO1.1, opatrení 1.1.2 sa alokácia G-MŠVVM SR (EFRR - MRR) znížila o 77 247 514 EUR (z 77 247 514 EUR na 0 EUR) </t>
  </si>
  <si>
    <t xml:space="preserve">: v priorite 1P1, špecifickom cieli RSO1.2, opatrení 1.2.2 sa alokácia IÚI-UMR-MIRRI SR (EFRR - MRR) znížila o 2 450 499 EUR (z 47 609 092 EUR na 45 158 593 EUR) </t>
  </si>
  <si>
    <t xml:space="preserve">: v priorite 1P1, špecifickom cieli RSO1.2, opatrení 1.2.2 sa alokácia IÚI-UMR-MIRRI SR (EFRR - MRR) zvýšila o 1 312 101 EUR (z 45 158 593 EUR na 46 470 694 EUR) </t>
  </si>
  <si>
    <t xml:space="preserve">: v priorite 1P1, špecifickom cieli RSO1.4, opatrení 1.4.1 sa alokácia IÚI-MIRRI SR (EFRR - MRR) zvýšila o 8 164 793 EUR (z 42 738 287 EUR na 50 903 080 EUR) </t>
  </si>
  <si>
    <t xml:space="preserve">: v priorite 2P2, špecifickom cieli RSO2.4, opatrení 2.4.1 sa alokácia IÚI-MŽP SR (EFRR - MRR) zvýšila o 1 225 188 EUR (z 9 825 812 EUR na 11 051 000 EUR) </t>
  </si>
  <si>
    <t xml:space="preserve">: v priorite 2P2, špecifickom cieli RSO2.4, opatrení 2.4.1 sa alokácia IÚI-UMR-MŽP SR (EFRR - MRR) znížila o 5 932 792 EUR (z 26 787 556 EUR na 20 854 764 EUR) </t>
  </si>
  <si>
    <t xml:space="preserve">: v priorite 2P2, špecifickom cieli RSO2.5, opatrení 2.5.2 sa alokácia IÚI-MŽP SR (EFRR - MRR) znížila o 3 050 000 EUR (z 26 819 700 EUR na 23 769 700EUR) </t>
  </si>
  <si>
    <t xml:space="preserve">: v priorite 2P2, špecifickom cieli RSO2.5, opatrení 2.5.3 sa alokácia IÚI-MIRRI SR (EFRR - MRR) znížila o 1 805 019 EUR (z 18 460 820 EUR na 16 655 801 EUR) </t>
  </si>
  <si>
    <t xml:space="preserve">: v priorite 2P2, špecifickom cieli RSO2.5, opatrení 2.5.7 sa alokácia IÚI-UMR-MŽP SR (EFRR - MRR) znížila o 1 638 307 EUR (z 3 144 255 EUR na 1 505 948 EUR) </t>
  </si>
  <si>
    <t xml:space="preserve">: v priorite 2P2, špecifickom cieli RSO2.5, opatrení 2.5.8 sa alokácia IÚI-MŽP SR (EFRR - MRR) znížila o 4 726 857 EUR (z 44 391 096 EUR na 39 664 239 EUR) </t>
  </si>
  <si>
    <t xml:space="preserve">: v priorite 2P2, špecifickom cieli RSO2.6, opatrení 2.6.1 sa alokácia IÚI-UMR-MŽP SR (EFRR - MRR) zvýšila o 25 500 EUR (z 626 052 EUR na 651 552 EUR) </t>
  </si>
  <si>
    <t xml:space="preserve">: v priorite 2P2, špecifickom cieli RSO2.6, opatrení 2.6.2 sa alokácia IÚI-MŽP SR (EFRR - MRR) zvýšila o 1 087 791 EUR (z 18 987 440 EUR na 20 075 231 EUR) </t>
  </si>
  <si>
    <t xml:space="preserve">: v priorite 2P2, špecifickom cieli RSO2.6, opatrení 2.6.2 sa alokácia MRK-ÚV SR (EFRR - MRR) znížila o 400 000 EUR (z 12 000 000 EUR na 11 600 000 EUR) </t>
  </si>
  <si>
    <t xml:space="preserve">: v priorite 2P2, špecifickom cieli RSO2.6, opatrení 2.6.2 sa alokácia IÚI-UMR-MŽP SR (EFRR - MRR) znížila o 1 546 955 EUR (z 12 039 720 EUR na 10 492 765 EUR) </t>
  </si>
  <si>
    <t xml:space="preserve">: v priorite 2P2, špecifickom cieli RSO2.6, opatrení 2.6.2 sa alokácia IÚI-UMR-MŽP SR (EFRR - MRR) zvýšila o 272 288 EUR (z 10 492 765 EUR na 10 765 053 EUR) </t>
  </si>
  <si>
    <t xml:space="preserve">: v priorite 2P2, špecifickom cieli RSO2.6, opatrení 2.6.3 sa alokácia IÚI-MŽP SR (EFRR - MRR) znížila o 4 295 537 EUR (z 11 254 622 EUR na 6 959 085 EUR) </t>
  </si>
  <si>
    <t xml:space="preserve">: v priorite 2P2, špecifickom cieli RSO2.6, opatrení 2.6.3 sa alokácia IÚI-UMR-MŽP SR (EFRR - MRR) znížila o 954 047 EUR (z 3 894 437 EUR na 2 940 390 EUR) </t>
  </si>
  <si>
    <t xml:space="preserve">: v priorite 2P2, špecifickom cieli RSO2.6, opatrení 2.6.3 sa alokácia IÚI-UMR-MŽP SR (EFRR - MRR) zvýšila o 350 000 EUR (z 2 940 390 EUR na 3 290 390 EUR) </t>
  </si>
  <si>
    <t xml:space="preserve">: v priorite 2P2, špecifickom cieli RSO2.7, opatrení 2.7.3 sa alokácia IÚI-UMR-MŽP SR (EFRR - MRR) znížila o 1 167 048 EUR (z 2 361 257 EUR na 1 194 209 EUR) </t>
  </si>
  <si>
    <t xml:space="preserve">: v priorite 2P2, špecifickom cieli RSO2.7, opatrení 2.7.4 sa alokácia IÚI-MIRRI SR (EFRR - MRR) zvýšila o 1 253 379 EUR (z 18 468 038 EUR na 19 721 417 EUR) </t>
  </si>
  <si>
    <t xml:space="preserve">: v priorite 2P2, špecifickom cieli RSO2.7, opatrení 2.7.4 sa alokácia IÚI-UMR-MIRRI SR (EFRR - MRR) znížila o 452 668 EUR (z 82 682 211 EUR na 82 229 543 EUR) </t>
  </si>
  <si>
    <t xml:space="preserve">: v priorite 2P2, špecifickom cieli RSO2.7, opatrení 2.7.4 sa alokácia IÚI-UMR-MIRRI SR (EFRR - MRR) zvýšila o 4 677 805 EUR (z 82 229 543 EUR na 86 907 348 EUR) </t>
  </si>
  <si>
    <t xml:space="preserve">: v priorite 2P3, špecifickom cieli RSO2.8, opatrení 2.8.1 sa alokácia IÚI-MD SR (EFRR - MRR) znížila o 991 947 EUR (z 141 731 312 EUR na 140 739 365 EUR) </t>
  </si>
  <si>
    <t>: v priorite 2P3, špecifickom cieli RSO2.8, opatrení 2.8.2 sa alokácia IÚI-MIRRI SR (EFRR - MRR) zvýšila o 4 995 888 EUR (z 69 685 479 EUR na 74 681 367 EUR). Zahŕňa aj presun medzi alokáciami KR UMR MT a RP ŽSK vo výške 1 460 036 EUR.</t>
  </si>
  <si>
    <t>: v priorite 2P3, špecifickom cieli RSO2.8, opatrení 2.8.2 sa alokácia IÚI-UMR-MIRRI SR (EFRR - MRR) znížila o 1 460 036 EUR (z 38 038 363 EUR na 36 578 327 EUR). Zahŕňa aj presun medzi alokáciami KR UMR MT a RP ŽSK vo výške 1 460 036 EUR.</t>
  </si>
  <si>
    <t>: v priorite 2P3, špecifickom cieli RSO2.8, opatrení 2.8.2 sa alokácia IÚI-UMR-MIRRI SR (EFRR - MRR) zvýšila o 2 682 500 EUR (z 36 578 327 EUR na 39 260 827 EUR)</t>
  </si>
  <si>
    <t xml:space="preserve">: v priorite 4P2, špecifickom cieli RSO4.2 sa alokácia IÚI-MIRRI SR (EFRR - MRR) zvýšila o 756 009 EUR (z 191 119 800 EUR na 191 875 809 EUR) </t>
  </si>
  <si>
    <t xml:space="preserve">: v priorite 4P2, špecifickom cieli RSO4.2 sa alokácia IÚI-UMR-MIRRI SR (EFRR - MRR) znížila o 148 125 EUR (z 35 451 544 EUR na 35 303 419 EUR) </t>
  </si>
  <si>
    <t xml:space="preserve">: v priorite 4P2, špecifickom cieli RSO4.2 sa alokácia IÚI-UMR-MIRRI SR (EFRR - MRR) zvýšila o 2 753 690 EUR (z 35 303 419 EUR na 38 057 109 EUR) </t>
  </si>
  <si>
    <t xml:space="preserve">: v priorite 4P3, špecifickom cieli ESO4.4 sa alokácia G-MPSVR SR (ESF+ - VRR) zvýšila o 1 611 336 EUR (z 590 000 EUR na 2 201 336 EUR) </t>
  </si>
  <si>
    <t xml:space="preserve">: v priorite 4P3, špecifickom cieli ESO4.4 sa alokácia G-MPSVR SR (ESF+ - MRR) znížila o 23 675 000 EUR (z 116 310 000 EUR na 92 635 000 EUR) </t>
  </si>
  <si>
    <t xml:space="preserve">: v priorite 4P3, špecifickom cieli ESO4.7 sa alokácia G-MŠVVM SR (ESF+ - MRR) znížila o 5 000 000 EUR (z 67 709 320 EUR na 62 709 320 EUR) </t>
  </si>
  <si>
    <t xml:space="preserve">: v priorite 4P4, špecifickom cieli ESO4.1 sa alokácia G-MPSVR SR (ESF+ - VRR) znížila o 1 060 000 EUR (z 3 647 012 EUR na 2 587 012 EUR) </t>
  </si>
  <si>
    <t xml:space="preserve">: v priorite 4P4, špecifickom cieli ESO4.1 sa alokácia G-MPSVR SR (ESF+ - MRR) znížila o 2 819 500 EUR (z 180 455 000 EUR na 177 635 500 EUR) </t>
  </si>
  <si>
    <t xml:space="preserve">: v priorite 4P4, špecifickom cieli ESO4.12 sa alokácia G-MPSVR SR (ESF+ - VRR) znížila o 1 275 000 EUR (z 2 818 500 EUR na 1 543 500 EUR) </t>
  </si>
  <si>
    <t xml:space="preserve">: v priorite 4P4, špecifickom cieli ESO4.12 sa alokácia G-MPSVR SR (ESF+ - MRR) zvýšila o 5 154 500 EUR (z 65 647 010 EUR na 70 801 510 EUR) </t>
  </si>
  <si>
    <t xml:space="preserve">: v priorite 4P5, špecifickom cieli RSO4.5 sa alokácia IÚI-MZ SR (EFRR - MRR) znížila o 286 814 EUR (z 17 345 507 EUR na 17 058 693 EUR) </t>
  </si>
  <si>
    <t xml:space="preserve">: v priorite 4P5, špecifickom cieli ESO4.8 sa alokácia G-MPSVR SR (ESF+ - VRR) znížila o 169 400 EUR (z 1 610 000 EUR na 1 440 600 EUR) </t>
  </si>
  <si>
    <t xml:space="preserve">: v priorite 4P5, špecifickom cieli ESO4.11 sa alokácia G-MPSVR SR (ESF+ - VRR) zvýšila o 2 015 994 EUR (z 7 048 310 EUR na 9 064 304 EUR) </t>
  </si>
  <si>
    <t xml:space="preserve">: v priorite 4P5, špecifickom cieli ESO4.11 sa alokácia G-MPSVR SR (ESF+ - MRR) zvýšila o 50 630 401 EUR (z 141 552 045 EUR na 192 182 446 EUR) </t>
  </si>
  <si>
    <t xml:space="preserve">: v priorite 4P5, špecifickom cieli ESO4.12 sa alokácia G-MPSVR SR (ESF+ - VRR) zvýšila o 2 368 281 EUR (z 4 110 000 EUR na 6 478 281 EUR) </t>
  </si>
  <si>
    <t xml:space="preserve">: v priorite 4P5, špecifickom cieli ESO4.12 sa alokácia G-MPSVR SR (ESF+ - MRR) znížila o 26 034 803 EUR (z 58 800 000 EUR na 32 765 197 EUR) </t>
  </si>
  <si>
    <t xml:space="preserve">: v priorite 4P6, špecifickom cieli RSO4.3 sa alokácia MRK-ÚV SR (EFRR - MRR) znížila o 8 300 000 EUR (z 80 000 000 EUR na 71 700 000 EUR) </t>
  </si>
  <si>
    <t xml:space="preserve">: v priorite 5P1, špecifickom cieli RSO5.2, opatrení 5.2.1 sa alokácia IÚI-MIRRI (EFRR - MRR) znížila o 2 872 994 EUR (z 8 368 437 EUR na 5 495 443 EUR) </t>
  </si>
  <si>
    <t xml:space="preserve">: v priorite 5P1, špecifickom cieli RSO5.2, opatrení 5.2.2 sa alokácia IÚI-MIRRI (EFRR - MRR) znížila o 2 511 117 EUR (z 4 401 968 EUR na 1 890 851 EUR) </t>
  </si>
  <si>
    <t xml:space="preserve">: v priorite 5P1, špecifickom cieli RSO5.2, opatrení 5.2.3 sa alokácia IÚI-MIRRI (EFRR - MRR) znížila o 664 295 EUR (z 1 627 165 EUR na 962 870 EUR) </t>
  </si>
  <si>
    <t xml:space="preserve">: v priorite 4P2, špecifickom cieli ESO4.5 sa alokácia G-MŠVVM SR (ESF+-MRR) znížila o 9 024 854 EUR (z 121 321 992 EUR na 112 297 138 EUR) </t>
  </si>
  <si>
    <t xml:space="preserve">: v priorite 4P2, špecifickom cieli ESO4.5 sa alokácia G-MŠVVM SR (ESF+ -VRR) zvýšila o 1 973 624 EUR (z 3 746 688 EUR na 5 720 312 EUR) </t>
  </si>
  <si>
    <t xml:space="preserve">: v priorite 4P2, špecifickom cieli ESO4.6 sa alokácia G-MŠVVM SR (ESF+ -VRR) znížila o 1 973 624 EUR (z 3 000 000 EUR na 1 026 376 EUR) </t>
  </si>
  <si>
    <t xml:space="preserve">: v priorite 4P5, špecifickom cieli RSO4.5 sa alokácia G-MPSVR SR (EFRR - MRR) znížila o 576 807 EUR (31 414 369 EUR na 30 837 562 EUR) </t>
  </si>
  <si>
    <t xml:space="preserve">: v priorite 4P5, špecifickom cieli ESO4.8 sa alokácia G-MPSVR SR (ESF+ - MRR) znížila o 7 077 886 EUR (z 91 211 403 EUR na 84 133 517 EUR) </t>
  </si>
  <si>
    <t xml:space="preserve">: v priorite 4P2, špecifickom cieli ESO4.6 sa alokácia G-MŠVVM SR (ESF+ -MRR) zvýšila o 14 024 854 EUR (z 147 343 409 EUR na 161 368 263 EUR) </t>
  </si>
  <si>
    <t>Program Slovensko 2021 - 2027, porovnanie verzie 4.0 a verzie 3.5 (v EUR)</t>
  </si>
  <si>
    <t>Verzia 4.4: Zmena v porovnaní s verziou 4.2 - presuny alokácií v programe mimo MPS (vrátane ITI presunov a vrátenia "požičky ESF+" na MoPS a odídencov z UA) (schválené MV 09.12.2025):</t>
  </si>
  <si>
    <t xml:space="preserve">: v priorite 2P2, špecifickom cieli RSO2.7, opatrení 2.7.4 sa alokácia G-MIRRI SR (EFRR - MRR) zvýšila o 3 600 000 EUR (z 0 EUR na 3 600 000 EUR) </t>
  </si>
  <si>
    <t xml:space="preserve">: v priorite 3P1, špecifickom cieli RSO3.2, opatrení 3.2.4 sa alokácia G-MIRRI SR (EFRR - MRR) zvýšila o 14 400 000 EUR (z 0 EUR na 14 400 000 EUR) </t>
  </si>
  <si>
    <t xml:space="preserve">: v priorite 5P1, špecifickom cieli RSO5.1, opatrení 5.1.2 sa alokácia IÚI-UMR-MIRRI (EFRR - MRR) znížila o 1 634 243 EUR (z 2 534 597 EUR na 900 354 EUR) </t>
  </si>
  <si>
    <t>: v priorite 2P1, špecifickom cieli RSO2.1, opatrení 2.1.2 sa alokácia IÚI-UMR-SIEA (EFRR - MRR) zvýšila o 9 025 839 EUR (z 70 058 014 EUR na 79 083 853 EUR).</t>
  </si>
  <si>
    <t xml:space="preserve">: v priorite 4P9, špecifickom cieli RSO4.7 sa vytvorila alokácia G-MPSVR SR (EFRR - MRR) vo výške 24 000 000 EUR </t>
  </si>
  <si>
    <t xml:space="preserve">: v priorite 4P9, špecifickom cieli RSO4.7 sa vytvorila alokácia FN-MPSVR SR (EFRR - MRR) vo výške 20 000 000 EUR </t>
  </si>
  <si>
    <t xml:space="preserve">: v priorite 1P1, špecifickom cieli RSO1.2, opatrení 1.2.1 sa alokácia G-MIRRI SR (EFRR - MRR) znížila o 14 395 277 EUR (z 187 431 287 EUR na 173 036 010 EUR) </t>
  </si>
  <si>
    <t xml:space="preserve">: v priorite 1P1, špecifickom cieli RSO1.4, opatrení 1.4.2 sa alokácia G-MIRRI SR (EFRR - MRR) znížila o 3 604 723 EUR (z 19 562 260 EUR na 15 957 537 EUR) </t>
  </si>
  <si>
    <t xml:space="preserve">: v priorite 4P1, špecifickom cieli RSO4.1 sa alokácia G-MPSVR SR (EFRR - VRR) zvýšila o 1 021 029 EUR (z 2 232 898 EUR na 3 253 927 EUR) </t>
  </si>
  <si>
    <t xml:space="preserve">: v priorite 4P5, špecifickom cieli RSO4.5 sa alokácia G-MPSVR SR (EFRR - VRR) znížila o 1 021 029 EUR (4 650 000 EUR na 3 628 971 EUR) </t>
  </si>
  <si>
    <t xml:space="preserve">: v priorite 5P2, špecifickom cieli RSO5.3 sa vytvorila alokácia IÚI-MD SR (EFRR - MRR) vo výške 25 764 255 EUR </t>
  </si>
  <si>
    <t xml:space="preserve">: v priorite 5P2, špecifickom cieli RSO5.3 sa vytvorila alokácia IÚI-UMR-MD SR (EFRR - VRR) vo výške 1 000 000 EUR </t>
  </si>
  <si>
    <t xml:space="preserve">: v priorite 5P2, špecifickom cieli RSO5.3 sa vytvorila alokácia IÚI-UMR-MD SR (EFRR - MRR) vo výške 14 768 542 EUR </t>
  </si>
  <si>
    <t xml:space="preserve">: v priorite 2P5, špecifickom cieli RSO2.11 sa vytvorila alokácia IÚI-MD SR (Kohézny fond) vo výške 7 650 000 EUR </t>
  </si>
  <si>
    <t xml:space="preserve">: v priorite 8P2, špecifickom cieli JSO8.1 sa vytvorila alokácia FN-MIRRI SR (FST) vo výške 5 500 000 EUR </t>
  </si>
  <si>
    <t>: v priorite 8P1, špecifickom cieli JSO8.1, opatrení 8.2.1 sa alokácia G-MIRRI SR (FST) znížila o 2 500 000 EUR (z 97 570 616 EUR na 95 070 616 EUR)</t>
  </si>
  <si>
    <t>: v priorite 8P1, špecifickom cieli JSO8.1, opatrení 8.3.1 sa alokácia G-MIRRI SR (FST) znížila o 3 000 000 EUR (z 68 464 507 EUR na 65 464 507 EUR)</t>
  </si>
  <si>
    <t>FN - MIRRI SR</t>
  </si>
  <si>
    <t xml:space="preserve">: v priorite 4P5, špecifickom cieli RSO4.5 sa alokácia IÚI-MPSVR SR (EFRR - MRR) znížila o 2 874 526 EUR (z 44 985 854 EUR na 42 111 598 EUR) </t>
  </si>
  <si>
    <t>: v priorite 4P5, špecifickom cieli RSO4.3 sa alokácia IÚI-UMR-MPSVR SR (EFRR - MRR) znížila o 1 208 210 EUR (z 7 533 683  EUR na 6 325 473 EUR)</t>
  </si>
  <si>
    <t xml:space="preserve">: v priorite 4P5, špecifickom cieli RSO4.3 sa alokácia IÚI-UMR-MPSVR SR (EFRR - MRR) znížila o 78 380 EUR (z 6 325 473 EUR na 6 247 093 EUR) </t>
  </si>
  <si>
    <t xml:space="preserve">: v priorite 4P5, špecifickom cieli RSO4.5 sa alokácia IÚI-UMR-MPSVR SR (EFRR - MRR) znížila o 60 124 EUR (z 1 745 095 EUR na 1 684 971 EUR) </t>
  </si>
  <si>
    <t xml:space="preserve">: v priorite 1P1, špecifickom cieli RSO1.1, opatrení 1.1.1 sa alokácia G-MH SR (EFRR -MRR) zvýšila o 4 220 881 EUR (z 130 918 775 EUR na 135 139 656 EUR) </t>
  </si>
  <si>
    <t xml:space="preserve">: v priorite 3P1, špecifickom cieli RSO3.1, opatrení 3.1.2 sa alokácia FN-MD SR (KF) znížila o 12 000 000 EUR (z 25 000 000 EUR na 13 000 000 EUR) </t>
  </si>
  <si>
    <t xml:space="preserve">: v priorite 3P1, špecifickom cieli RSO3.1, opatrení 3.1.3 sa vytvorila alokácia FN-MD SR (KF) vo výške 12 000 000 EUR (z 0 EUR na 12 000 000 EUR) </t>
  </si>
  <si>
    <t xml:space="preserve">: v priorite 1P1, špecifickom cieli RSO1.1, opatrení 1.1.3 sa alokácia G-MH SR (EFRR -MRR) znížila o 4 220 881 EUR (z 10 088 554 EUR na 5 867 673 EUR) </t>
  </si>
  <si>
    <t xml:space="preserve">: v priorite 2P2, špecifickom cieli RSO2.6, opatrení 2.6.1 sa alokácia G-MŽP SR (EFRR - VRR) zvýšila o 100 000 EUR (z 1 679 668 EUR na 1 779 668 EUR) </t>
  </si>
  <si>
    <t xml:space="preserve">: v priorite 2P2, špecifickom cieli RSO2.6, opatrení 2.6.4 sa alokácia G-MŽP SR (EFRR - VRR) znížila o 100 000 EUR (z 100 000 EUR na 0 EUR) </t>
  </si>
  <si>
    <t xml:space="preserve">: v priorite 4P9, špecifickom cieli RSO4.7 sa alokácia G-MPSVR SR (EFRR - MRR) znížila o 3 000 000 EUR (z 24 000 000 EUR na 21 000 000 EUR) </t>
  </si>
  <si>
    <t xml:space="preserve">: v priorite 4P9, špecifickom cieli RSO4.7 sa vytvorila alokácia G-MPSVR SR (EFRR - VRR) vo výške 3 000 000 EUR </t>
  </si>
  <si>
    <t xml:space="preserve">: v priorite 4P9, špecifickom cieli RSO4.7 sa alokácia FN-MPSVR SR (EFRR - MRR) znížila o 2 500 000 EUR (z 20 000 000 EUR na 17 500 000 EUR) </t>
  </si>
  <si>
    <t xml:space="preserve">: v priorite 4P9, špecifickom cieli RSO4.7 sa vytvorila alokácia FN-MPSVR SR (EFRR - VRR) vo výške 2 500 000 EUR </t>
  </si>
  <si>
    <t xml:space="preserve">: v priorite 2P6, špecifickom cieli RSO2.12 sa alokácia G-SIEA (EFRR - VRR) znížila o 5 500 000 EUR (z 13 696 337 EUR na 8 196 337 EUR) </t>
  </si>
  <si>
    <t xml:space="preserve">: v priorite 2P6, špecifickom cieli RSO2.12 sa alokácia G-SIEA (EFRR - MRR) zvýšila o 5 500 000 EUR (z 5 803 663 EUR na 11 303 663 EUR) </t>
  </si>
  <si>
    <t xml:space="preserve">: v priorite 4P1, špecifickom cieli ESO4.4 sa alokácia G-MPSVR SR (ESF+ -MRR) zvýšila o 2 687 440 EUR (z 12 995 000 EUR na 15 682 440 EUR) </t>
  </si>
  <si>
    <t xml:space="preserve">: v priorite 4P1, špecifickom cieli ESO4.4 sa alokácia G-MPSVR SR (ESF+ -VRR) zvýšila o 91 590 EUR (z 250 000 EUR na 341 590 EUR) </t>
  </si>
  <si>
    <t xml:space="preserve">: v priorite 4P1, špecifickom cieli ESO4.3 sa alokácia G-MPSVR SR (ESF+ -MRR) zvýšila o 6 678 220 EUR (z 34 592 000 EUR na 41 270 220 EUR) </t>
  </si>
  <si>
    <t xml:space="preserve">: v priorite 4P1, špecifickom cieli ESO4.3 sa alokácia G-MPSVR SR (ESF+ -VRR) znížila o 4 687 411 EUR (z 5 029 000 EUR na 341 589 EUR) </t>
  </si>
  <si>
    <t xml:space="preserve">: v priorite 4P1, špecifickom cieli ESO4.2 sa alokácia G-MPSVR SR (ESF+ -MRR) zvýšila o 17 270 590 EUR (z 41 400 000 EUR na 58 670 590 EUR) </t>
  </si>
  <si>
    <t xml:space="preserve">: v priorite 4P1, špecifickom cieli ESO4.1 sa alokácia G-MPSVR SR (ESF+ -MRR) znížila o 22 813 962 EUR (z 269 525 044 EUR na 246 711 082 EUR) </t>
  </si>
  <si>
    <t xml:space="preserve">: v priorite 4P1, špecifickom cieli ESO4.1 sa alokácia G-MPSVR SR (ESF+ - VRR) zvýšila o 1 104 610 EUR (z 7 000 000 EUR na 8 104 610 EUR) </t>
  </si>
  <si>
    <t xml:space="preserve">: v priorite 2P2, špecifickom cieli RSO2.7, opatrení 2.7.3 sa alokácia IÚI-MŽP SR (EFRR - MRR) znížila o 550 908 EUR (z 1 826 575 EUR na 1 275 667 EUR) </t>
  </si>
  <si>
    <t>: v priorite 5P1, špecifickom cieli RSO5.2, opatrení 5.2.4 sa alokácia IÚI-MIRRI (EFRR - MRR) zvýšila o 4 081 748 EUR (z 40 414 148 EUR na 44 495 896 EUR). Zahŕňa aj presun medzi alokáciami RP BBSK a KR UMR BB vo výške 816 000 EUR.</t>
  </si>
  <si>
    <t>: v priorite 5P1, špecifickom cieli RSO5.1, opatrení 5.1.4 sa alokácia IÚI-UMR-MIRRI (EFRR - MRR) zvýšila o 18 365 603 EUR (z 29 204 959 EUR na 47 570 562 EUR). Zahŕňa aj presun medzi alokáciami RP BBSK a KR UMR BB vo výške 816 000 EUR.</t>
  </si>
  <si>
    <t>: v priorite 5P1, špecifickom cieli RSO5.1, opatrení 5.1.5 sa alokácia IÚI-UMR-MIRRI (EFRR - MRR) znížila o 5 363 757 EUR (z 91 788 820 EUR na 86 425 063 EUR). Zahŕňa aj presun medzi alokáciami RP BBSK a KR UMR RS vo výške 700 247 EUR.</t>
  </si>
  <si>
    <t>: v priorite 5P1, špecifickom cieli RSO5.2, opatrení 5.2.5 sa alokácia IÚI-MIRRI (EFRR - MRR) znížila o 138 672 EUR (z 153 492 940 EUR na 153 354 268 EUR). Zahŕňa aj presun medzi alokáciami RP BBSK a KR UMR RS vo výške 700 247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</si>
</sst>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36"/>
      <color theme="4" tint="-0.499984740745262"/>
      <name val="Aptos Narrow"/>
      <family val="2"/>
    </font>
    <font>
      <b/>
      <sz val="24"/>
      <color theme="1"/>
      <name val="Aptos Narrow"/>
      <family val="2"/>
    </font>
    <font>
      <b/>
      <sz val="18"/>
      <color theme="1"/>
      <name val="Aptos Narrow"/>
      <family val="2"/>
    </font>
    <font>
      <b/>
      <sz val="22"/>
      <color theme="0"/>
      <name val="Aptos Narrow"/>
      <family val="2"/>
    </font>
    <font>
      <b/>
      <sz val="26"/>
      <color theme="0"/>
      <name val="Aptos Narrow"/>
      <family val="2"/>
    </font>
    <font>
      <sz val="14"/>
      <color theme="1"/>
      <name val="Aptos Narrow"/>
      <family val="2"/>
    </font>
    <font>
      <b/>
      <sz val="20"/>
      <color theme="0"/>
      <name val="Aptos Narrow"/>
      <family val="2"/>
    </font>
    <font>
      <b/>
      <sz val="18"/>
      <color theme="0"/>
      <name val="Aptos Narrow"/>
      <family val="2"/>
    </font>
    <font>
      <sz val="18"/>
      <name val="Aptos Narrow"/>
      <family val="2"/>
    </font>
    <font>
      <b/>
      <sz val="20"/>
      <name val="Aptos Narrow"/>
      <family val="2"/>
    </font>
    <font>
      <b/>
      <sz val="18"/>
      <name val="Aptos Narrow"/>
      <family val="2"/>
    </font>
    <font>
      <b/>
      <sz val="22"/>
      <name val="Aptos Narrow"/>
      <family val="2"/>
    </font>
    <font>
      <sz val="22"/>
      <color rgb="FFFF0000"/>
      <name val="Aptos Narrow"/>
      <family val="2"/>
    </font>
    <font>
      <i/>
      <sz val="22"/>
      <color theme="9" tint="-0.249977111117893"/>
      <name val="Aptos Narrow"/>
      <family val="2"/>
    </font>
    <font>
      <sz val="18"/>
      <color theme="0"/>
      <name val="Aptos Narrow"/>
      <family val="2"/>
    </font>
    <font>
      <sz val="22"/>
      <color theme="2" tint="-0.249977111117893"/>
      <name val="Aptos Narrow"/>
      <family val="2"/>
    </font>
    <font>
      <b/>
      <sz val="22"/>
      <color theme="2" tint="-0.249977111117893"/>
      <name val="Aptos Narrow"/>
      <family val="2"/>
    </font>
    <font>
      <sz val="18"/>
      <color theme="1"/>
      <name val="Aptos Narrow"/>
      <family val="2"/>
    </font>
    <font>
      <sz val="22"/>
      <name val="Aptos Narrow"/>
      <family val="2"/>
    </font>
    <font>
      <sz val="20"/>
      <color theme="1"/>
      <name val="Aptos Narrow"/>
      <family val="2"/>
    </font>
    <font>
      <sz val="11"/>
      <color theme="0"/>
      <name val="Calibri"/>
      <family val="2"/>
      <scheme val="minor"/>
    </font>
    <font>
      <b/>
      <sz val="11"/>
      <color theme="1"/>
      <name val="Aptos Narrow"/>
      <family val="2"/>
    </font>
    <font>
      <sz val="20"/>
      <name val="Aptos Narrow"/>
      <family val="2"/>
    </font>
    <font>
      <i/>
      <sz val="11"/>
      <color theme="1"/>
      <name val="Aptos Narrow"/>
      <family val="2"/>
    </font>
    <font>
      <sz val="16"/>
      <name val="Aptos Narrow"/>
      <family val="2"/>
    </font>
    <font>
      <b/>
      <i/>
      <sz val="22"/>
      <name val="Aptos Narrow"/>
      <family val="2"/>
    </font>
    <font>
      <i/>
      <sz val="18"/>
      <name val="Aptos Narrow"/>
      <family val="2"/>
    </font>
    <font>
      <i/>
      <sz val="22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6"/>
      <name val="Aptos Narrow"/>
      <family val="2"/>
    </font>
    <font>
      <i/>
      <sz val="11"/>
      <color theme="0"/>
      <name val="Aptos Narrow"/>
      <family val="2"/>
    </font>
    <font>
      <i/>
      <sz val="11"/>
      <name val="Aptos Narrow"/>
      <family val="2"/>
    </font>
    <font>
      <b/>
      <sz val="20"/>
      <color theme="1"/>
      <name val="Aptos Narrow"/>
      <family val="2"/>
    </font>
    <font>
      <b/>
      <sz val="16"/>
      <color theme="1"/>
      <name val="Aptos Narrow"/>
      <family val="2"/>
    </font>
    <font>
      <sz val="16"/>
      <color theme="1"/>
      <name val="Aptos Narrow"/>
      <family val="2"/>
    </font>
    <font>
      <i/>
      <sz val="16"/>
      <color theme="1"/>
      <name val="Aptos Narrow"/>
      <family val="2"/>
    </font>
    <font>
      <b/>
      <sz val="22"/>
      <color rgb="FFFF0000"/>
      <name val="Aptos Narrow"/>
      <family val="2"/>
    </font>
    <font>
      <i/>
      <sz val="20"/>
      <name val="Aptos Narrow"/>
      <family val="2"/>
    </font>
    <font>
      <i/>
      <sz val="20"/>
      <color theme="1"/>
      <name val="Aptos Narrow"/>
      <family val="2"/>
    </font>
    <font>
      <b/>
      <sz val="11"/>
      <color theme="5" tint="-0.249977111117893"/>
      <name val="Aptos Narrow"/>
      <family val="2"/>
    </font>
    <font>
      <b/>
      <sz val="20"/>
      <color theme="5" tint="-0.249977111117893"/>
      <name val="Aptos Narrow"/>
      <family val="2"/>
    </font>
    <font>
      <b/>
      <sz val="20"/>
      <color theme="9" tint="-0.249977111117893"/>
      <name val="Aptos Narrow"/>
      <family val="2"/>
    </font>
    <font>
      <sz val="20"/>
      <color theme="5" tint="-0.249977111117893"/>
      <name val="Aptos Narrow"/>
      <family val="2"/>
    </font>
    <font>
      <sz val="20"/>
      <color theme="9"/>
      <name val="Aptos Narrow"/>
      <family val="2"/>
    </font>
    <font>
      <sz val="10"/>
      <color rgb="FF000000"/>
      <name val="Arial"/>
      <family val="2"/>
    </font>
    <font>
      <b/>
      <sz val="22"/>
      <color theme="1"/>
      <name val="Aptos Narrow"/>
      <family val="2"/>
    </font>
    <font>
      <sz val="22"/>
      <color theme="1"/>
      <name val="Aptos Narrow"/>
      <family val="2"/>
    </font>
    <font>
      <sz val="11"/>
      <color rgb="FF00B050"/>
      <name val="Aptos Narrow"/>
      <family val="2"/>
    </font>
    <font>
      <sz val="11"/>
      <color rgb="FFC00000"/>
      <name val="Aptos Narrow"/>
      <family val="2"/>
    </font>
    <font>
      <sz val="11"/>
      <color rgb="FFFF0000"/>
      <name val="Aptos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4" fillId="2" borderId="0" applyNumberFormat="0" applyBorder="0" applyAlignment="0" applyProtection="0"/>
    <xf numFmtId="0" fontId="49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quotePrefix="1" applyFont="1" applyAlignment="1">
      <alignment horizontal="center" vertical="center" wrapText="1"/>
    </xf>
    <xf numFmtId="0" fontId="5" fillId="0" borderId="0" xfId="1" quotePrefix="1" applyFont="1" applyAlignment="1">
      <alignment vertical="center" wrapText="1"/>
    </xf>
    <xf numFmtId="0" fontId="6" fillId="0" borderId="0" xfId="1" quotePrefix="1" applyFont="1" applyAlignment="1">
      <alignment vertical="center" wrapText="1"/>
    </xf>
    <xf numFmtId="0" fontId="9" fillId="0" borderId="0" xfId="1" applyFont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vertical="center"/>
    </xf>
    <xf numFmtId="0" fontId="11" fillId="4" borderId="1" xfId="1" applyFont="1" applyFill="1" applyBorder="1" applyAlignment="1">
      <alignment vertical="center"/>
    </xf>
    <xf numFmtId="3" fontId="7" fillId="4" borderId="1" xfId="1" applyNumberFormat="1" applyFont="1" applyFill="1" applyBorder="1" applyAlignment="1">
      <alignment horizontal="right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3" fillId="5" borderId="1" xfId="1" applyFont="1" applyFill="1" applyBorder="1" applyAlignment="1">
      <alignment vertical="center"/>
    </xf>
    <xf numFmtId="3" fontId="14" fillId="0" borderId="1" xfId="1" applyNumberFormat="1" applyFont="1" applyBorder="1" applyAlignment="1">
      <alignment vertical="center" wrapText="1"/>
    </xf>
    <xf numFmtId="3" fontId="15" fillId="0" borderId="1" xfId="1" applyNumberFormat="1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3" fontId="15" fillId="6" borderId="1" xfId="1" applyNumberFormat="1" applyFont="1" applyFill="1" applyBorder="1" applyAlignment="1">
      <alignment horizontal="right" vertical="center"/>
    </xf>
    <xf numFmtId="3" fontId="15" fillId="5" borderId="1" xfId="1" applyNumberFormat="1" applyFont="1" applyFill="1" applyBorder="1" applyAlignment="1">
      <alignment horizontal="right" vertical="center"/>
    </xf>
    <xf numFmtId="3" fontId="7" fillId="4" borderId="1" xfId="1" applyNumberFormat="1" applyFont="1" applyFill="1" applyBorder="1" applyAlignment="1">
      <alignment vertical="center"/>
    </xf>
    <xf numFmtId="0" fontId="10" fillId="5" borderId="1" xfId="1" applyFont="1" applyFill="1" applyBorder="1" applyAlignment="1">
      <alignment vertical="center"/>
    </xf>
    <xf numFmtId="3" fontId="7" fillId="0" borderId="1" xfId="1" applyNumberFormat="1" applyFont="1" applyBorder="1" applyAlignment="1">
      <alignment horizontal="right" vertical="center" wrapText="1"/>
    </xf>
    <xf numFmtId="3" fontId="16" fillId="0" borderId="1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Fill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3" fontId="17" fillId="6" borderId="1" xfId="1" applyNumberFormat="1" applyFont="1" applyFill="1" applyBorder="1" applyAlignment="1">
      <alignment horizontal="right" vertical="center"/>
    </xf>
    <xf numFmtId="3" fontId="17" fillId="5" borderId="1" xfId="1" applyNumberFormat="1" applyFont="1" applyFill="1" applyBorder="1" applyAlignment="1">
      <alignment horizontal="right" vertical="center"/>
    </xf>
    <xf numFmtId="0" fontId="18" fillId="0" borderId="0" xfId="1" applyFont="1" applyAlignment="1">
      <alignment vertical="center"/>
    </xf>
    <xf numFmtId="10" fontId="15" fillId="0" borderId="1" xfId="2" applyNumberFormat="1" applyFont="1" applyBorder="1" applyAlignment="1">
      <alignment horizontal="right" vertical="center" wrapText="1"/>
    </xf>
    <xf numFmtId="3" fontId="19" fillId="0" borderId="1" xfId="2" applyNumberFormat="1" applyFont="1" applyFill="1" applyBorder="1" applyAlignment="1">
      <alignment horizontal="right" vertical="center" wrapText="1"/>
    </xf>
    <xf numFmtId="3" fontId="20" fillId="0" borderId="1" xfId="2" applyNumberFormat="1" applyFont="1" applyFill="1" applyBorder="1" applyAlignment="1">
      <alignment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right" vertical="center"/>
    </xf>
    <xf numFmtId="0" fontId="21" fillId="0" borderId="0" xfId="1" applyFont="1" applyAlignment="1">
      <alignment vertical="center"/>
    </xf>
    <xf numFmtId="3" fontId="12" fillId="0" borderId="0" xfId="1" applyNumberFormat="1" applyFont="1" applyAlignment="1">
      <alignment vertical="center"/>
    </xf>
    <xf numFmtId="10" fontId="15" fillId="0" borderId="1" xfId="2" applyNumberFormat="1" applyFont="1" applyFill="1" applyBorder="1" applyAlignment="1">
      <alignment horizontal="right" vertical="center" wrapText="1"/>
    </xf>
    <xf numFmtId="3" fontId="22" fillId="0" borderId="1" xfId="2" applyNumberFormat="1" applyFont="1" applyFill="1" applyBorder="1" applyAlignment="1">
      <alignment horizontal="right" vertical="center" wrapText="1"/>
    </xf>
    <xf numFmtId="3" fontId="15" fillId="0" borderId="1" xfId="2" applyNumberFormat="1" applyFont="1" applyFill="1" applyBorder="1" applyAlignment="1">
      <alignment vertical="center" wrapText="1"/>
    </xf>
    <xf numFmtId="0" fontId="10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 wrapText="1"/>
    </xf>
    <xf numFmtId="3" fontId="7" fillId="7" borderId="1" xfId="1" applyNumberFormat="1" applyFont="1" applyFill="1" applyBorder="1" applyAlignment="1">
      <alignment vertical="center"/>
    </xf>
    <xf numFmtId="3" fontId="7" fillId="7" borderId="1" xfId="1" applyNumberFormat="1" applyFont="1" applyFill="1" applyBorder="1" applyAlignment="1">
      <alignment horizontal="right" vertical="center"/>
    </xf>
    <xf numFmtId="9" fontId="14" fillId="7" borderId="1" xfId="2" applyFont="1" applyFill="1" applyBorder="1" applyAlignment="1">
      <alignment horizontal="center" vertical="center" wrapText="1"/>
    </xf>
    <xf numFmtId="0" fontId="23" fillId="0" borderId="0" xfId="1" applyFont="1" applyAlignment="1">
      <alignment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vertical="center"/>
    </xf>
    <xf numFmtId="3" fontId="7" fillId="8" borderId="1" xfId="1" applyNumberFormat="1" applyFont="1" applyFill="1" applyBorder="1" applyAlignment="1">
      <alignment vertical="center"/>
    </xf>
    <xf numFmtId="3" fontId="7" fillId="8" borderId="1" xfId="1" applyNumberFormat="1" applyFont="1" applyFill="1" applyBorder="1" applyAlignment="1">
      <alignment horizontal="right" vertical="center"/>
    </xf>
    <xf numFmtId="164" fontId="14" fillId="8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vertical="center" wrapText="1"/>
    </xf>
    <xf numFmtId="3" fontId="15" fillId="9" borderId="1" xfId="1" applyNumberFormat="1" applyFont="1" applyFill="1" applyBorder="1" applyAlignment="1">
      <alignment horizontal="right" vertical="center"/>
    </xf>
    <xf numFmtId="3" fontId="15" fillId="9" borderId="1" xfId="1" applyNumberFormat="1" applyFont="1" applyFill="1" applyBorder="1" applyAlignment="1">
      <alignment horizontal="right" vertical="center" wrapText="1"/>
    </xf>
    <xf numFmtId="164" fontId="14" fillId="9" borderId="1" xfId="3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vertical="center"/>
    </xf>
    <xf numFmtId="3" fontId="15" fillId="10" borderId="1" xfId="1" applyNumberFormat="1" applyFont="1" applyFill="1" applyBorder="1" applyAlignment="1">
      <alignment horizontal="right" vertical="center" wrapText="1"/>
    </xf>
    <xf numFmtId="3" fontId="15" fillId="10" borderId="1" xfId="1" applyNumberFormat="1" applyFont="1" applyFill="1" applyBorder="1" applyAlignment="1">
      <alignment vertical="center"/>
    </xf>
    <xf numFmtId="3" fontId="15" fillId="10" borderId="1" xfId="1" applyNumberFormat="1" applyFont="1" applyFill="1" applyBorder="1" applyAlignment="1">
      <alignment horizontal="right" vertical="center"/>
    </xf>
    <xf numFmtId="164" fontId="14" fillId="10" borderId="1" xfId="1" applyNumberFormat="1" applyFont="1" applyFill="1" applyBorder="1" applyAlignment="1">
      <alignment horizontal="center" vertical="center" wrapText="1"/>
    </xf>
    <xf numFmtId="3" fontId="15" fillId="11" borderId="1" xfId="1" applyNumberFormat="1" applyFont="1" applyFill="1" applyBorder="1" applyAlignment="1">
      <alignment horizontal="right" vertical="center"/>
    </xf>
    <xf numFmtId="164" fontId="14" fillId="11" borderId="1" xfId="1" applyNumberFormat="1" applyFon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164" fontId="28" fillId="5" borderId="1" xfId="1" applyNumberFormat="1" applyFont="1" applyFill="1" applyBorder="1" applyAlignment="1">
      <alignment horizontal="right" vertical="center"/>
    </xf>
    <xf numFmtId="3" fontId="15" fillId="5" borderId="1" xfId="1" applyNumberFormat="1" applyFont="1" applyFill="1" applyBorder="1" applyAlignment="1">
      <alignment vertical="center"/>
    </xf>
    <xf numFmtId="3" fontId="29" fillId="5" borderId="1" xfId="1" applyNumberFormat="1" applyFont="1" applyFill="1" applyBorder="1" applyAlignment="1">
      <alignment vertical="center"/>
    </xf>
    <xf numFmtId="164" fontId="30" fillId="0" borderId="1" xfId="1" applyNumberFormat="1" applyFont="1" applyBorder="1" applyAlignment="1">
      <alignment horizontal="center" vertical="center" wrapText="1"/>
    </xf>
    <xf numFmtId="3" fontId="30" fillId="0" borderId="1" xfId="1" applyNumberFormat="1" applyFont="1" applyBorder="1" applyAlignment="1">
      <alignment horizontal="right" vertical="center"/>
    </xf>
    <xf numFmtId="3" fontId="30" fillId="5" borderId="1" xfId="1" applyNumberFormat="1" applyFont="1" applyFill="1" applyBorder="1" applyAlignment="1">
      <alignment horizontal="right" vertical="center"/>
    </xf>
    <xf numFmtId="3" fontId="15" fillId="12" borderId="1" xfId="1" applyNumberFormat="1" applyFont="1" applyFill="1" applyBorder="1" applyAlignment="1">
      <alignment horizontal="right" vertical="center" wrapText="1"/>
    </xf>
    <xf numFmtId="3" fontId="31" fillId="5" borderId="1" xfId="1" applyNumberFormat="1" applyFont="1" applyFill="1" applyBorder="1" applyAlignment="1">
      <alignment horizontal="right" vertical="center" wrapText="1"/>
    </xf>
    <xf numFmtId="3" fontId="30" fillId="12" borderId="1" xfId="1" applyNumberFormat="1" applyFont="1" applyFill="1" applyBorder="1" applyAlignment="1">
      <alignment horizontal="right" vertical="center"/>
    </xf>
    <xf numFmtId="3" fontId="15" fillId="13" borderId="1" xfId="1" applyNumberFormat="1" applyFont="1" applyFill="1" applyBorder="1" applyAlignment="1">
      <alignment horizontal="right" vertical="center"/>
    </xf>
    <xf numFmtId="3" fontId="22" fillId="5" borderId="1" xfId="1" applyNumberFormat="1" applyFont="1" applyFill="1" applyBorder="1" applyAlignment="1">
      <alignment horizontal="right" vertical="center"/>
    </xf>
    <xf numFmtId="3" fontId="30" fillId="13" borderId="1" xfId="1" applyNumberFormat="1" applyFont="1" applyFill="1" applyBorder="1" applyAlignment="1">
      <alignment horizontal="right"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3" fontId="15" fillId="11" borderId="1" xfId="2" applyNumberFormat="1" applyFont="1" applyFill="1" applyBorder="1" applyAlignment="1">
      <alignment horizontal="right" vertical="center"/>
    </xf>
    <xf numFmtId="3" fontId="15" fillId="5" borderId="1" xfId="1" applyNumberFormat="1" applyFont="1" applyFill="1" applyBorder="1" applyAlignment="1">
      <alignment horizontal="right" vertical="center" wrapText="1"/>
    </xf>
    <xf numFmtId="3" fontId="22" fillId="5" borderId="1" xfId="1" applyNumberFormat="1" applyFont="1" applyFill="1" applyBorder="1" applyAlignment="1">
      <alignment horizontal="right" vertical="center" wrapText="1"/>
    </xf>
    <xf numFmtId="0" fontId="34" fillId="5" borderId="1" xfId="1" applyFont="1" applyFill="1" applyBorder="1" applyAlignment="1">
      <alignment horizontal="righ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164" fontId="11" fillId="8" borderId="1" xfId="1" applyNumberFormat="1" applyFont="1" applyFill="1" applyBorder="1" applyAlignment="1">
      <alignment horizontal="center" vertical="center" wrapText="1"/>
    </xf>
    <xf numFmtId="0" fontId="35" fillId="0" borderId="0" xfId="1" applyFont="1" applyAlignment="1">
      <alignment vertical="center"/>
    </xf>
    <xf numFmtId="0" fontId="36" fillId="0" borderId="0" xfId="1" applyFont="1" applyAlignment="1">
      <alignment vertical="center"/>
    </xf>
    <xf numFmtId="3" fontId="14" fillId="11" borderId="1" xfId="1" applyNumberFormat="1" applyFont="1" applyFill="1" applyBorder="1" applyAlignment="1">
      <alignment horizontal="center" vertical="center"/>
    </xf>
    <xf numFmtId="0" fontId="38" fillId="0" borderId="0" xfId="1" applyFont="1" applyAlignment="1">
      <alignment vertical="center"/>
    </xf>
    <xf numFmtId="49" fontId="37" fillId="5" borderId="1" xfId="1" applyNumberFormat="1" applyFont="1" applyFill="1" applyBorder="1" applyAlignment="1">
      <alignment horizontal="center" vertical="center"/>
    </xf>
    <xf numFmtId="0" fontId="37" fillId="5" borderId="1" xfId="1" applyFont="1" applyFill="1" applyBorder="1" applyAlignment="1">
      <alignment vertical="center" wrapText="1"/>
    </xf>
    <xf numFmtId="0" fontId="39" fillId="0" borderId="0" xfId="1" applyFont="1" applyAlignment="1">
      <alignment vertical="center"/>
    </xf>
    <xf numFmtId="164" fontId="28" fillId="5" borderId="1" xfId="1" applyNumberFormat="1" applyFont="1" applyFill="1" applyBorder="1" applyAlignment="1">
      <alignment vertical="center"/>
    </xf>
    <xf numFmtId="3" fontId="15" fillId="13" borderId="1" xfId="1" applyNumberFormat="1" applyFont="1" applyFill="1" applyBorder="1" applyAlignment="1">
      <alignment vertical="center"/>
    </xf>
    <xf numFmtId="0" fontId="40" fillId="0" borderId="0" xfId="1" applyFont="1" applyAlignment="1">
      <alignment vertical="center"/>
    </xf>
    <xf numFmtId="3" fontId="22" fillId="5" borderId="1" xfId="1" applyNumberFormat="1" applyFont="1" applyFill="1" applyBorder="1" applyAlignment="1">
      <alignment vertical="center"/>
    </xf>
    <xf numFmtId="3" fontId="16" fillId="5" borderId="1" xfId="1" applyNumberFormat="1" applyFont="1" applyFill="1" applyBorder="1" applyAlignment="1">
      <alignment horizontal="right" vertical="center" wrapText="1"/>
    </xf>
    <xf numFmtId="3" fontId="16" fillId="5" borderId="1" xfId="1" applyNumberFormat="1" applyFont="1" applyFill="1" applyBorder="1" applyAlignment="1">
      <alignment horizontal="right" vertical="center"/>
    </xf>
    <xf numFmtId="3" fontId="16" fillId="5" borderId="1" xfId="1" applyNumberFormat="1" applyFont="1" applyFill="1" applyBorder="1" applyAlignment="1">
      <alignment vertical="center"/>
    </xf>
    <xf numFmtId="0" fontId="34" fillId="5" borderId="1" xfId="1" applyFont="1" applyFill="1" applyBorder="1" applyAlignment="1">
      <alignment vertical="center" wrapText="1"/>
    </xf>
    <xf numFmtId="0" fontId="34" fillId="5" borderId="1" xfId="1" applyFont="1" applyFill="1" applyBorder="1" applyAlignment="1">
      <alignment horizontal="center" vertical="center" wrapText="1"/>
    </xf>
    <xf numFmtId="3" fontId="15" fillId="12" borderId="1" xfId="1" applyNumberFormat="1" applyFont="1" applyFill="1" applyBorder="1" applyAlignment="1">
      <alignment horizontal="right" vertical="center"/>
    </xf>
    <xf numFmtId="3" fontId="41" fillId="5" borderId="1" xfId="1" applyNumberFormat="1" applyFont="1" applyFill="1" applyBorder="1" applyAlignment="1">
      <alignment horizontal="center" vertical="center" wrapText="1"/>
    </xf>
    <xf numFmtId="3" fontId="28" fillId="5" borderId="1" xfId="1" applyNumberFormat="1" applyFont="1" applyFill="1" applyBorder="1" applyAlignment="1">
      <alignment vertical="center"/>
    </xf>
    <xf numFmtId="3" fontId="15" fillId="16" borderId="1" xfId="1" applyNumberFormat="1" applyFont="1" applyFill="1" applyBorder="1" applyAlignment="1">
      <alignment horizontal="right" vertical="center" wrapText="1"/>
    </xf>
    <xf numFmtId="3" fontId="30" fillId="16" borderId="1" xfId="1" applyNumberFormat="1" applyFont="1" applyFill="1" applyBorder="1" applyAlignment="1">
      <alignment horizontal="right" vertical="center"/>
    </xf>
    <xf numFmtId="164" fontId="34" fillId="5" borderId="1" xfId="1" applyNumberFormat="1" applyFont="1" applyFill="1" applyBorder="1" applyAlignment="1">
      <alignment vertical="center"/>
    </xf>
    <xf numFmtId="164" fontId="22" fillId="5" borderId="1" xfId="1" applyNumberFormat="1" applyFont="1" applyFill="1" applyBorder="1" applyAlignment="1">
      <alignment vertical="center"/>
    </xf>
    <xf numFmtId="3" fontId="15" fillId="5" borderId="1" xfId="1" applyNumberFormat="1" applyFont="1" applyFill="1" applyBorder="1" applyAlignment="1">
      <alignment vertical="center" wrapText="1"/>
    </xf>
    <xf numFmtId="9" fontId="15" fillId="5" borderId="1" xfId="2" applyFont="1" applyFill="1" applyBorder="1" applyAlignment="1">
      <alignment horizontal="right" vertical="center"/>
    </xf>
    <xf numFmtId="0" fontId="3" fillId="0" borderId="0" xfId="1" applyFont="1" applyAlignment="1">
      <alignment vertical="center" wrapText="1"/>
    </xf>
    <xf numFmtId="164" fontId="28" fillId="5" borderId="1" xfId="1" applyNumberFormat="1" applyFont="1" applyFill="1" applyBorder="1" applyAlignment="1">
      <alignment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37" fillId="0" borderId="0" xfId="1" applyFont="1" applyAlignment="1">
      <alignment vertical="center"/>
    </xf>
    <xf numFmtId="3" fontId="15" fillId="16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3" fontId="33" fillId="0" borderId="0" xfId="1" applyNumberFormat="1" applyFont="1" applyAlignment="1">
      <alignment vertical="center"/>
    </xf>
    <xf numFmtId="3" fontId="31" fillId="5" borderId="1" xfId="1" applyNumberFormat="1" applyFont="1" applyFill="1" applyBorder="1" applyAlignment="1">
      <alignment horizontal="right" vertical="center"/>
    </xf>
    <xf numFmtId="3" fontId="26" fillId="5" borderId="1" xfId="1" applyNumberFormat="1" applyFont="1" applyFill="1" applyBorder="1" applyAlignment="1">
      <alignment horizontal="center" vertical="center"/>
    </xf>
    <xf numFmtId="3" fontId="42" fillId="5" borderId="1" xfId="1" applyNumberFormat="1" applyFont="1" applyFill="1" applyBorder="1" applyAlignment="1">
      <alignment horizontal="center" vertical="center"/>
    </xf>
    <xf numFmtId="3" fontId="15" fillId="5" borderId="1" xfId="3" applyNumberFormat="1" applyFont="1" applyFill="1" applyBorder="1" applyAlignment="1">
      <alignment horizontal="right" vertical="center"/>
    </xf>
    <xf numFmtId="3" fontId="31" fillId="5" borderId="1" xfId="2" applyNumberFormat="1" applyFont="1" applyFill="1" applyBorder="1" applyAlignment="1">
      <alignment horizontal="right" vertical="center"/>
    </xf>
    <xf numFmtId="3" fontId="29" fillId="5" borderId="1" xfId="2" applyNumberFormat="1" applyFont="1" applyFill="1" applyBorder="1" applyAlignment="1">
      <alignment horizontal="right" vertical="center"/>
    </xf>
    <xf numFmtId="3" fontId="15" fillId="0" borderId="1" xfId="3" applyNumberFormat="1" applyFont="1" applyFill="1" applyBorder="1" applyAlignment="1">
      <alignment horizontal="right" vertical="center"/>
    </xf>
    <xf numFmtId="49" fontId="23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3" fontId="22" fillId="0" borderId="1" xfId="1" applyNumberFormat="1" applyFont="1" applyBorder="1" applyAlignment="1">
      <alignment horizontal="right" vertical="center"/>
    </xf>
    <xf numFmtId="3" fontId="22" fillId="0" borderId="1" xfId="1" applyNumberFormat="1" applyFont="1" applyBorder="1" applyAlignment="1">
      <alignment horizontal="right" vertical="center" wrapText="1"/>
    </xf>
    <xf numFmtId="164" fontId="30" fillId="0" borderId="1" xfId="3" applyNumberFormat="1" applyFont="1" applyFill="1" applyBorder="1" applyAlignment="1">
      <alignment horizontal="center" vertical="center" wrapText="1"/>
    </xf>
    <xf numFmtId="0" fontId="42" fillId="5" borderId="0" xfId="1" applyFont="1" applyFill="1" applyAlignment="1">
      <alignment vertical="center"/>
    </xf>
    <xf numFmtId="0" fontId="33" fillId="5" borderId="0" xfId="1" applyFont="1" applyFill="1" applyAlignment="1">
      <alignment vertical="center"/>
    </xf>
    <xf numFmtId="0" fontId="34" fillId="5" borderId="0" xfId="1" applyFont="1" applyFill="1" applyAlignment="1">
      <alignment vertical="center"/>
    </xf>
    <xf numFmtId="49" fontId="14" fillId="5" borderId="0" xfId="1" applyNumberFormat="1" applyFont="1" applyFill="1" applyAlignment="1">
      <alignment horizontal="center" vertical="center"/>
    </xf>
    <xf numFmtId="3" fontId="32" fillId="5" borderId="0" xfId="1" applyNumberFormat="1" applyFont="1" applyFill="1" applyAlignment="1">
      <alignment vertical="center"/>
    </xf>
    <xf numFmtId="0" fontId="32" fillId="5" borderId="0" xfId="1" applyFont="1" applyFill="1" applyAlignment="1">
      <alignment vertical="center"/>
    </xf>
    <xf numFmtId="0" fontId="43" fillId="5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38" fillId="5" borderId="0" xfId="1" applyFont="1" applyFill="1" applyAlignment="1">
      <alignment vertical="center"/>
    </xf>
    <xf numFmtId="49" fontId="6" fillId="5" borderId="0" xfId="1" applyNumberFormat="1" applyFont="1" applyFill="1" applyAlignment="1">
      <alignment horizontal="center" vertical="center"/>
    </xf>
    <xf numFmtId="0" fontId="44" fillId="5" borderId="0" xfId="1" applyFont="1" applyFill="1" applyAlignment="1">
      <alignment vertical="center"/>
    </xf>
    <xf numFmtId="0" fontId="37" fillId="5" borderId="0" xfId="1" applyFont="1" applyFill="1" applyAlignment="1">
      <alignment vertical="center" wrapText="1"/>
    </xf>
    <xf numFmtId="0" fontId="23" fillId="5" borderId="0" xfId="1" applyFont="1" applyFill="1" applyAlignment="1">
      <alignment vertical="center"/>
    </xf>
    <xf numFmtId="0" fontId="37" fillId="5" borderId="0" xfId="1" applyFont="1" applyFill="1" applyAlignment="1">
      <alignment vertical="center"/>
    </xf>
    <xf numFmtId="49" fontId="37" fillId="5" borderId="0" xfId="1" applyNumberFormat="1" applyFont="1" applyFill="1" applyAlignment="1">
      <alignment horizontal="center" vertical="center"/>
    </xf>
    <xf numFmtId="0" fontId="45" fillId="5" borderId="0" xfId="1" applyFont="1" applyFill="1" applyAlignment="1">
      <alignment vertical="center"/>
    </xf>
    <xf numFmtId="0" fontId="13" fillId="17" borderId="0" xfId="1" applyFont="1" applyFill="1" applyAlignment="1">
      <alignment vertical="center"/>
    </xf>
    <xf numFmtId="0" fontId="26" fillId="17" borderId="0" xfId="1" applyFont="1" applyFill="1" applyAlignment="1">
      <alignment vertical="center"/>
    </xf>
    <xf numFmtId="0" fontId="13" fillId="17" borderId="0" xfId="1" applyFont="1" applyFill="1" applyAlignment="1">
      <alignment horizontal="center" vertical="center" wrapText="1"/>
    </xf>
    <xf numFmtId="165" fontId="37" fillId="5" borderId="0" xfId="2" applyNumberFormat="1" applyFont="1" applyFill="1" applyBorder="1" applyAlignment="1">
      <alignment vertical="center"/>
    </xf>
    <xf numFmtId="164" fontId="23" fillId="5" borderId="0" xfId="1" applyNumberFormat="1" applyFont="1" applyFill="1" applyAlignment="1">
      <alignment vertical="center"/>
    </xf>
    <xf numFmtId="0" fontId="26" fillId="5" borderId="0" xfId="1" applyFont="1" applyFill="1" applyAlignment="1">
      <alignment vertical="center"/>
    </xf>
    <xf numFmtId="165" fontId="26" fillId="5" borderId="0" xfId="1" applyNumberFormat="1" applyFont="1" applyFill="1" applyAlignment="1">
      <alignment horizontal="center" vertical="center"/>
    </xf>
    <xf numFmtId="165" fontId="26" fillId="5" borderId="0" xfId="1" applyNumberFormat="1" applyFont="1" applyFill="1" applyAlignment="1">
      <alignment vertical="center"/>
    </xf>
    <xf numFmtId="164" fontId="13" fillId="5" borderId="0" xfId="1" applyNumberFormat="1" applyFont="1" applyFill="1" applyAlignment="1">
      <alignment vertical="center"/>
    </xf>
    <xf numFmtId="164" fontId="26" fillId="5" borderId="0" xfId="1" applyNumberFormat="1" applyFont="1" applyFill="1" applyAlignment="1">
      <alignment vertical="center"/>
    </xf>
    <xf numFmtId="3" fontId="26" fillId="5" borderId="0" xfId="1" applyNumberFormat="1" applyFont="1" applyFill="1" applyAlignment="1">
      <alignment vertical="center"/>
    </xf>
    <xf numFmtId="0" fontId="46" fillId="5" borderId="0" xfId="1" applyFont="1" applyFill="1" applyAlignment="1">
      <alignment horizontal="center" vertical="center"/>
    </xf>
    <xf numFmtId="165" fontId="37" fillId="5" borderId="0" xfId="2" applyNumberFormat="1" applyFont="1" applyFill="1" applyBorder="1" applyAlignment="1">
      <alignment horizontal="center" vertical="center"/>
    </xf>
    <xf numFmtId="164" fontId="23" fillId="5" borderId="0" xfId="1" applyNumberFormat="1" applyFont="1" applyFill="1" applyAlignment="1">
      <alignment horizontal="right" vertical="center"/>
    </xf>
    <xf numFmtId="0" fontId="13" fillId="5" borderId="0" xfId="1" applyFont="1" applyFill="1" applyAlignment="1">
      <alignment horizontal="center" vertical="center" wrapText="1"/>
    </xf>
    <xf numFmtId="164" fontId="37" fillId="5" borderId="0" xfId="1" applyNumberFormat="1" applyFont="1" applyFill="1" applyAlignment="1">
      <alignment horizontal="center" vertical="center"/>
    </xf>
    <xf numFmtId="164" fontId="37" fillId="5" borderId="0" xfId="1" applyNumberFormat="1" applyFont="1" applyFill="1" applyAlignment="1">
      <alignment horizontal="right" vertical="center"/>
    </xf>
    <xf numFmtId="165" fontId="26" fillId="5" borderId="0" xfId="2" applyNumberFormat="1" applyFont="1" applyFill="1" applyAlignment="1">
      <alignment vertical="center"/>
    </xf>
    <xf numFmtId="164" fontId="47" fillId="5" borderId="0" xfId="1" applyNumberFormat="1" applyFont="1" applyFill="1" applyAlignment="1">
      <alignment vertical="center"/>
    </xf>
    <xf numFmtId="0" fontId="47" fillId="5" borderId="0" xfId="1" applyFont="1" applyFill="1" applyAlignment="1">
      <alignment vertical="center"/>
    </xf>
    <xf numFmtId="2" fontId="45" fillId="5" borderId="0" xfId="1" applyNumberFormat="1" applyFont="1" applyFill="1" applyAlignment="1">
      <alignment vertical="center"/>
    </xf>
    <xf numFmtId="2" fontId="26" fillId="5" borderId="0" xfId="1" applyNumberFormat="1" applyFont="1" applyFill="1" applyAlignment="1">
      <alignment vertical="center"/>
    </xf>
    <xf numFmtId="2" fontId="13" fillId="5" borderId="0" xfId="1" applyNumberFormat="1" applyFont="1" applyFill="1" applyAlignment="1">
      <alignment vertical="center"/>
    </xf>
    <xf numFmtId="0" fontId="26" fillId="0" borderId="0" xfId="1" applyFont="1" applyAlignment="1">
      <alignment vertical="center"/>
    </xf>
    <xf numFmtId="0" fontId="13" fillId="5" borderId="0" xfId="1" applyFont="1" applyFill="1" applyAlignment="1">
      <alignment vertical="center"/>
    </xf>
    <xf numFmtId="0" fontId="48" fillId="0" borderId="0" xfId="1" applyFont="1" applyAlignment="1">
      <alignment vertical="center"/>
    </xf>
    <xf numFmtId="49" fontId="26" fillId="5" borderId="0" xfId="1" applyNumberFormat="1" applyFont="1" applyFill="1" applyAlignment="1">
      <alignment horizontal="left" vertical="center"/>
    </xf>
    <xf numFmtId="3" fontId="13" fillId="5" borderId="0" xfId="1" applyNumberFormat="1" applyFont="1" applyFill="1" applyAlignment="1">
      <alignment vertical="center"/>
    </xf>
    <xf numFmtId="49" fontId="26" fillId="0" borderId="0" xfId="1" applyNumberFormat="1" applyFont="1" applyAlignment="1">
      <alignment horizontal="center" vertical="center"/>
    </xf>
    <xf numFmtId="49" fontId="26" fillId="5" borderId="0" xfId="1" applyNumberFormat="1" applyFont="1" applyFill="1" applyAlignment="1">
      <alignment horizontal="center" vertical="center"/>
    </xf>
    <xf numFmtId="0" fontId="26" fillId="5" borderId="0" xfId="1" applyFont="1" applyFill="1" applyAlignment="1">
      <alignment horizontal="center" vertical="center"/>
    </xf>
    <xf numFmtId="0" fontId="13" fillId="17" borderId="0" xfId="1" applyFont="1" applyFill="1" applyAlignment="1">
      <alignment horizontal="center" vertical="center"/>
    </xf>
    <xf numFmtId="0" fontId="14" fillId="5" borderId="0" xfId="1" applyFont="1" applyFill="1" applyAlignment="1">
      <alignment horizontal="center" vertical="center" wrapText="1"/>
    </xf>
    <xf numFmtId="0" fontId="37" fillId="17" borderId="0" xfId="1" applyFont="1" applyFill="1" applyAlignment="1">
      <alignment vertical="center"/>
    </xf>
    <xf numFmtId="0" fontId="37" fillId="17" borderId="0" xfId="1" applyFont="1" applyFill="1" applyAlignment="1">
      <alignment horizontal="center" vertical="center"/>
    </xf>
    <xf numFmtId="0" fontId="3" fillId="17" borderId="0" xfId="1" applyFont="1" applyFill="1" applyAlignment="1">
      <alignment vertical="center"/>
    </xf>
    <xf numFmtId="0" fontId="6" fillId="17" borderId="0" xfId="1" applyFont="1" applyFill="1" applyAlignment="1">
      <alignment horizontal="center" vertical="center" wrapText="1"/>
    </xf>
    <xf numFmtId="0" fontId="25" fillId="17" borderId="0" xfId="1" applyFont="1" applyFill="1" applyAlignment="1">
      <alignment vertical="center"/>
    </xf>
    <xf numFmtId="49" fontId="39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44" fillId="0" borderId="0" xfId="1" applyFont="1" applyAlignment="1">
      <alignment vertical="center"/>
    </xf>
    <xf numFmtId="0" fontId="50" fillId="0" borderId="0" xfId="1" quotePrefix="1" applyFont="1" applyAlignment="1">
      <alignment vertical="center" wrapText="1"/>
    </xf>
    <xf numFmtId="0" fontId="15" fillId="5" borderId="0" xfId="1" applyFont="1" applyFill="1" applyAlignment="1">
      <alignment vertical="center"/>
    </xf>
    <xf numFmtId="0" fontId="50" fillId="5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26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0" fontId="26" fillId="5" borderId="0" xfId="0" applyFont="1" applyFill="1" applyAlignment="1">
      <alignment horizontal="center" vertical="center"/>
    </xf>
    <xf numFmtId="49" fontId="26" fillId="5" borderId="0" xfId="0" applyNumberFormat="1" applyFont="1" applyFill="1" applyAlignment="1">
      <alignment horizontal="left" vertical="center"/>
    </xf>
    <xf numFmtId="0" fontId="22" fillId="5" borderId="0" xfId="1" applyFont="1" applyFill="1" applyAlignment="1">
      <alignment horizontal="center" vertical="center"/>
    </xf>
    <xf numFmtId="49" fontId="28" fillId="5" borderId="0" xfId="1" applyNumberFormat="1" applyFont="1" applyFill="1" applyAlignment="1">
      <alignment horizontal="center" vertical="center"/>
    </xf>
    <xf numFmtId="3" fontId="15" fillId="0" borderId="1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Fill="1" applyBorder="1" applyAlignment="1">
      <alignment horizontal="right" vertical="center" wrapText="1"/>
    </xf>
    <xf numFmtId="3" fontId="11" fillId="4" borderId="1" xfId="1" applyNumberFormat="1" applyFont="1" applyFill="1" applyBorder="1" applyAlignment="1">
      <alignment vertical="center"/>
    </xf>
    <xf numFmtId="3" fontId="51" fillId="5" borderId="1" xfId="1" applyNumberFormat="1" applyFont="1" applyFill="1" applyBorder="1" applyAlignment="1">
      <alignment horizontal="right" vertical="center"/>
    </xf>
    <xf numFmtId="3" fontId="51" fillId="5" borderId="1" xfId="1" applyNumberFormat="1" applyFont="1" applyFill="1" applyBorder="1" applyAlignment="1">
      <alignment vertical="center"/>
    </xf>
    <xf numFmtId="0" fontId="10" fillId="8" borderId="1" xfId="1" applyFont="1" applyFill="1" applyBorder="1" applyAlignment="1">
      <alignment vertical="center" wrapText="1"/>
    </xf>
    <xf numFmtId="0" fontId="6" fillId="5" borderId="0" xfId="1" applyFont="1" applyFill="1" applyAlignment="1">
      <alignment horizontal="center" vertical="center" wrapText="1"/>
    </xf>
    <xf numFmtId="0" fontId="25" fillId="5" borderId="0" xfId="1" applyFont="1" applyFill="1" applyAlignment="1">
      <alignment vertical="center"/>
    </xf>
    <xf numFmtId="0" fontId="53" fillId="0" borderId="0" xfId="1" applyFont="1" applyAlignment="1">
      <alignment vertical="center"/>
    </xf>
    <xf numFmtId="0" fontId="54" fillId="0" borderId="0" xfId="1" applyFont="1" applyAlignment="1">
      <alignment vertical="center"/>
    </xf>
    <xf numFmtId="0" fontId="52" fillId="0" borderId="0" xfId="1" applyFont="1" applyAlignment="1">
      <alignment vertical="center"/>
    </xf>
    <xf numFmtId="0" fontId="23" fillId="5" borderId="0" xfId="1" applyFont="1" applyFill="1" applyAlignment="1">
      <alignment horizontal="center" vertical="center"/>
    </xf>
    <xf numFmtId="49" fontId="23" fillId="5" borderId="0" xfId="1" applyNumberFormat="1" applyFont="1" applyFill="1" applyAlignment="1">
      <alignment horizontal="left" vertical="center"/>
    </xf>
    <xf numFmtId="0" fontId="37" fillId="5" borderId="0" xfId="1" applyFont="1" applyFill="1" applyAlignment="1">
      <alignment horizontal="center" vertical="center" wrapText="1"/>
    </xf>
    <xf numFmtId="49" fontId="23" fillId="0" borderId="0" xfId="1" applyNumberFormat="1" applyFont="1" applyAlignment="1">
      <alignment horizontal="left" vertical="center"/>
    </xf>
    <xf numFmtId="0" fontId="37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49" fontId="26" fillId="5" borderId="0" xfId="1" applyNumberFormat="1" applyFont="1" applyFill="1" applyAlignment="1">
      <alignment horizontal="left" vertical="center"/>
    </xf>
    <xf numFmtId="49" fontId="26" fillId="5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37" fillId="0" borderId="2" xfId="1" applyNumberFormat="1" applyFont="1" applyBorder="1" applyAlignment="1">
      <alignment horizontal="center" vertical="center"/>
    </xf>
    <xf numFmtId="49" fontId="37" fillId="0" borderId="3" xfId="1" applyNumberFormat="1" applyFont="1" applyBorder="1" applyAlignment="1">
      <alignment horizontal="center" vertical="center"/>
    </xf>
    <xf numFmtId="49" fontId="37" fillId="0" borderId="4" xfId="1" applyNumberFormat="1" applyFont="1" applyBorder="1" applyAlignment="1">
      <alignment horizontal="center" vertical="center"/>
    </xf>
    <xf numFmtId="0" fontId="37" fillId="0" borderId="2" xfId="1" applyFont="1" applyBorder="1" applyAlignment="1">
      <alignment horizontal="left" vertical="center" wrapText="1"/>
    </xf>
    <xf numFmtId="0" fontId="37" fillId="0" borderId="3" xfId="1" applyFont="1" applyBorder="1" applyAlignment="1">
      <alignment horizontal="left" vertical="center" wrapText="1"/>
    </xf>
    <xf numFmtId="0" fontId="37" fillId="0" borderId="4" xfId="1" applyFont="1" applyBorder="1" applyAlignment="1">
      <alignment horizontal="left" vertical="center" wrapText="1"/>
    </xf>
    <xf numFmtId="49" fontId="26" fillId="5" borderId="2" xfId="1" applyNumberFormat="1" applyFont="1" applyFill="1" applyBorder="1" applyAlignment="1">
      <alignment horizontal="center" vertical="center"/>
    </xf>
    <xf numFmtId="49" fontId="26" fillId="5" borderId="3" xfId="1" applyNumberFormat="1" applyFont="1" applyFill="1" applyBorder="1" applyAlignment="1">
      <alignment horizontal="center" vertical="center"/>
    </xf>
    <xf numFmtId="49" fontId="26" fillId="5" borderId="4" xfId="1" applyNumberFormat="1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horizontal="left" vertical="center" wrapText="1"/>
    </xf>
    <xf numFmtId="0" fontId="26" fillId="5" borderId="3" xfId="1" applyFont="1" applyFill="1" applyBorder="1" applyAlignment="1">
      <alignment horizontal="left" vertical="center" wrapText="1"/>
    </xf>
    <xf numFmtId="0" fontId="26" fillId="5" borderId="4" xfId="1" applyFont="1" applyFill="1" applyBorder="1" applyAlignment="1">
      <alignment horizontal="left" vertical="center" wrapText="1"/>
    </xf>
    <xf numFmtId="49" fontId="37" fillId="5" borderId="2" xfId="1" applyNumberFormat="1" applyFont="1" applyFill="1" applyBorder="1" applyAlignment="1">
      <alignment horizontal="center" vertical="center"/>
    </xf>
    <xf numFmtId="49" fontId="37" fillId="5" borderId="3" xfId="1" applyNumberFormat="1" applyFont="1" applyFill="1" applyBorder="1" applyAlignment="1">
      <alignment horizontal="center" vertical="center"/>
    </xf>
    <xf numFmtId="49" fontId="37" fillId="5" borderId="4" xfId="1" applyNumberFormat="1" applyFont="1" applyFill="1" applyBorder="1" applyAlignment="1">
      <alignment horizontal="center" vertical="center"/>
    </xf>
    <xf numFmtId="0" fontId="37" fillId="5" borderId="2" xfId="1" applyFont="1" applyFill="1" applyBorder="1" applyAlignment="1">
      <alignment horizontal="left" vertical="center" wrapText="1"/>
    </xf>
    <xf numFmtId="0" fontId="37" fillId="5" borderId="3" xfId="1" applyFont="1" applyFill="1" applyBorder="1" applyAlignment="1">
      <alignment horizontal="left" vertical="center" wrapText="1"/>
    </xf>
    <xf numFmtId="0" fontId="37" fillId="5" borderId="4" xfId="1" applyFont="1" applyFill="1" applyBorder="1" applyAlignment="1">
      <alignment horizontal="left" vertical="center" wrapText="1"/>
    </xf>
    <xf numFmtId="49" fontId="26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left" vertical="center" wrapText="1"/>
    </xf>
    <xf numFmtId="49" fontId="26" fillId="0" borderId="2" xfId="1" applyNumberFormat="1" applyFont="1" applyBorder="1" applyAlignment="1">
      <alignment horizontal="center" vertical="center"/>
    </xf>
    <xf numFmtId="49" fontId="26" fillId="0" borderId="3" xfId="1" applyNumberFormat="1" applyFont="1" applyBorder="1" applyAlignment="1">
      <alignment horizontal="center" vertical="center"/>
    </xf>
    <xf numFmtId="49" fontId="26" fillId="0" borderId="4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49" fontId="13" fillId="5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left" vertical="center" wrapText="1"/>
    </xf>
    <xf numFmtId="49" fontId="13" fillId="5" borderId="2" xfId="1" applyNumberFormat="1" applyFont="1" applyFill="1" applyBorder="1" applyAlignment="1">
      <alignment horizontal="center" vertical="center"/>
    </xf>
    <xf numFmtId="49" fontId="13" fillId="5" borderId="3" xfId="1" applyNumberFormat="1" applyFont="1" applyFill="1" applyBorder="1" applyAlignment="1">
      <alignment horizontal="center" vertical="center"/>
    </xf>
    <xf numFmtId="49" fontId="13" fillId="5" borderId="4" xfId="1" applyNumberFormat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left" vertical="center" wrapText="1"/>
    </xf>
    <xf numFmtId="0" fontId="13" fillId="5" borderId="3" xfId="1" applyFont="1" applyFill="1" applyBorder="1" applyAlignment="1">
      <alignment horizontal="left" vertical="center" wrapText="1"/>
    </xf>
    <xf numFmtId="0" fontId="13" fillId="5" borderId="4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vertical="center" wrapText="1"/>
    </xf>
    <xf numFmtId="49" fontId="23" fillId="5" borderId="1" xfId="1" applyNumberFormat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left" vertical="center" wrapText="1"/>
    </xf>
    <xf numFmtId="49" fontId="23" fillId="15" borderId="1" xfId="1" applyNumberFormat="1" applyFont="1" applyFill="1" applyBorder="1" applyAlignment="1">
      <alignment horizontal="center" vertical="center"/>
    </xf>
    <xf numFmtId="0" fontId="23" fillId="5" borderId="2" xfId="1" applyFont="1" applyFill="1" applyBorder="1" applyAlignment="1">
      <alignment horizontal="left" vertical="center" wrapText="1"/>
    </xf>
    <xf numFmtId="0" fontId="23" fillId="5" borderId="3" xfId="1" applyFont="1" applyFill="1" applyBorder="1" applyAlignment="1">
      <alignment horizontal="left" vertical="center" wrapText="1"/>
    </xf>
    <xf numFmtId="0" fontId="23" fillId="5" borderId="4" xfId="1" applyFont="1" applyFill="1" applyBorder="1" applyAlignment="1">
      <alignment horizontal="left" vertical="center" wrapText="1"/>
    </xf>
    <xf numFmtId="49" fontId="23" fillId="5" borderId="2" xfId="1" applyNumberFormat="1" applyFont="1" applyFill="1" applyBorder="1" applyAlignment="1">
      <alignment horizontal="center" vertical="center"/>
    </xf>
    <xf numFmtId="49" fontId="23" fillId="5" borderId="3" xfId="1" applyNumberFormat="1" applyFont="1" applyFill="1" applyBorder="1" applyAlignment="1">
      <alignment horizontal="center" vertical="center"/>
    </xf>
    <xf numFmtId="49" fontId="23" fillId="5" borderId="4" xfId="1" applyNumberFormat="1" applyFont="1" applyFill="1" applyBorder="1" applyAlignment="1">
      <alignment horizontal="center" vertical="center"/>
    </xf>
    <xf numFmtId="0" fontId="37" fillId="5" borderId="2" xfId="1" applyFont="1" applyFill="1" applyBorder="1" applyAlignment="1">
      <alignment vertical="center" wrapText="1"/>
    </xf>
    <xf numFmtId="0" fontId="37" fillId="5" borderId="3" xfId="1" applyFont="1" applyFill="1" applyBorder="1" applyAlignment="1">
      <alignment vertical="center" wrapText="1"/>
    </xf>
    <xf numFmtId="0" fontId="37" fillId="5" borderId="4" xfId="1" applyFont="1" applyFill="1" applyBorder="1" applyAlignment="1">
      <alignment vertical="center" wrapText="1"/>
    </xf>
    <xf numFmtId="49" fontId="23" fillId="14" borderId="1" xfId="1" applyNumberFormat="1" applyFont="1" applyFill="1" applyBorder="1" applyAlignment="1">
      <alignment horizontal="center" vertical="center"/>
    </xf>
    <xf numFmtId="49" fontId="23" fillId="15" borderId="1" xfId="1" applyNumberFormat="1" applyFont="1" applyFill="1" applyBorder="1" applyAlignment="1">
      <alignment horizontal="center" vertical="center" wrapText="1"/>
    </xf>
    <xf numFmtId="49" fontId="23" fillId="5" borderId="1" xfId="1" applyNumberFormat="1" applyFont="1" applyFill="1" applyBorder="1" applyAlignment="1">
      <alignment horizontal="center" vertical="center" wrapText="1"/>
    </xf>
    <xf numFmtId="0" fontId="26" fillId="5" borderId="1" xfId="1" applyFont="1" applyFill="1" applyBorder="1" applyAlignment="1">
      <alignment vertical="center" wrapText="1"/>
    </xf>
    <xf numFmtId="49" fontId="26" fillId="5" borderId="1" xfId="1" applyNumberFormat="1" applyFont="1" applyFill="1" applyBorder="1" applyAlignment="1">
      <alignment horizontal="center" vertical="center" wrapText="1"/>
    </xf>
    <xf numFmtId="49" fontId="23" fillId="14" borderId="1" xfId="1" applyNumberFormat="1" applyFont="1" applyFill="1" applyBorder="1" applyAlignment="1">
      <alignment horizontal="center" vertical="center" wrapText="1"/>
    </xf>
    <xf numFmtId="49" fontId="23" fillId="0" borderId="2" xfId="1" applyNumberFormat="1" applyFont="1" applyBorder="1" applyAlignment="1">
      <alignment horizontal="center" vertical="center"/>
    </xf>
    <xf numFmtId="49" fontId="23" fillId="0" borderId="3" xfId="1" applyNumberFormat="1" applyFont="1" applyBorder="1" applyAlignment="1">
      <alignment horizontal="center" vertical="center"/>
    </xf>
    <xf numFmtId="49" fontId="23" fillId="0" borderId="4" xfId="1" applyNumberFormat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0" fontId="4" fillId="0" borderId="0" xfId="1" quotePrefix="1" applyFont="1" applyAlignment="1">
      <alignment horizontal="center" vertical="center" wrapText="1"/>
    </xf>
    <xf numFmtId="14" fontId="7" fillId="3" borderId="1" xfId="1" applyNumberFormat="1" applyFont="1" applyFill="1" applyBorder="1" applyAlignment="1">
      <alignment horizontal="left" vertical="center" wrapText="1"/>
    </xf>
    <xf numFmtId="0" fontId="8" fillId="3" borderId="1" xfId="1" quotePrefix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/>
    </xf>
  </cellXfs>
  <cellStyles count="9">
    <cellStyle name="Čiarka 2" xfId="6" xr:uid="{00000000-0005-0000-0000-000000000000}"/>
    <cellStyle name="Normálna" xfId="0" builtinId="0"/>
    <cellStyle name="Normálna 10" xfId="4" xr:uid="{00000000-0005-0000-0000-000002000000}"/>
    <cellStyle name="Normálna 11" xfId="5" xr:uid="{00000000-0005-0000-0000-000003000000}"/>
    <cellStyle name="Normálna 2" xfId="1" xr:uid="{00000000-0005-0000-0000-000004000000}"/>
    <cellStyle name="Percentá 2" xfId="2" xr:uid="{00000000-0005-0000-0000-000005000000}"/>
    <cellStyle name="Percentá 2 2" xfId="8" xr:uid="{D67287EF-C098-4AF7-BF7D-19C8123B0F16}"/>
    <cellStyle name="Percentá 5" xfId="7" xr:uid="{00000000-0005-0000-0000-000006000000}"/>
    <cellStyle name="Zvýraznenie6 2" xfId="3" xr:uid="{00000000-0005-0000-0000-000007000000}"/>
  </cellStyles>
  <dxfs count="4">
    <dxf>
      <fill>
        <patternFill>
          <bgColor rgb="FFFF5050"/>
        </patternFill>
      </fill>
    </dxf>
    <dxf>
      <fill>
        <patternFill>
          <bgColor rgb="FF99FF33"/>
        </patternFill>
      </fill>
    </dxf>
    <dxf>
      <fill>
        <patternFill>
          <bgColor rgb="FFFF5050"/>
        </patternFill>
      </fill>
    </dxf>
    <dxf>
      <fill>
        <patternFill>
          <bgColor rgb="FF99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138546</xdr:colOff>
      <xdr:row>1</xdr:row>
      <xdr:rowOff>150091</xdr:rowOff>
    </xdr:from>
    <xdr:to>
      <xdr:col>3</xdr:col>
      <xdr:colOff>66675</xdr:colOff>
      <xdr:row>1</xdr:row>
      <xdr:rowOff>844862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AE31A2E-1293-4502-882A-5F4FC2CA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150091"/>
          <a:ext cx="10351654" cy="697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165100</xdr:rowOff>
    </xdr:from>
    <xdr:to>
      <xdr:col>3</xdr:col>
      <xdr:colOff>77354</xdr:colOff>
      <xdr:row>1</xdr:row>
      <xdr:rowOff>863046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EB3B48-794E-4648-BD73-7FCB6CF3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5100"/>
          <a:ext cx="10351654" cy="6979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1</xdr:row>
      <xdr:rowOff>127000</xdr:rowOff>
    </xdr:from>
    <xdr:to>
      <xdr:col>3</xdr:col>
      <xdr:colOff>64654</xdr:colOff>
      <xdr:row>1</xdr:row>
      <xdr:rowOff>824946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1DBFF19-1910-4CCB-9629-B2B8B507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7000"/>
          <a:ext cx="10351654" cy="6979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1-RESTRICTED\Modelling%20post%202020\Model\MODEL_post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FF2021\country%20fiches\Dec2021\2021-11-10%20Template%20annex%20note%20to%20DG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FF2021\2020_07_17_EUCO\2020_07_20_EUCO_cohesion_policy%20Final_NB_recalculation_of_T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1-RESTRICTED\Modelling%20post%202020\Model\INPUTS\BUDG%20internal\Model%202020-06_DAB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FF2021\simulation\2020_07_17_EUCO\JTF\JTF_2020_10_02_capping_20pct_wo_2nd_cappin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SOPS\MFF2021\simulation\2018_04_11_373bns\MFF_2021_v44_373BnsCP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SOPS\Users\roba\Desktop\221025_Program_Slovensko_financne_plany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\SOPS\PSK\Odbor_programovania_PS\Oddelenie_analyz_a_planovania\oAP_PSK_Alokacna_tabulka\241216_Program_Slovensko_alokacie_EU_verzia_1_11.xlsx" TargetMode="External"/><Relationship Id="rId1" Type="http://schemas.openxmlformats.org/officeDocument/2006/relationships/externalLinkPath" Target="/Odbor_programovania_PS/ODDELENIE_analyz_a_planovania/oAP_PSK_Alokacna_tabulka/241216_Program_Slovensko_alokacie_EU_verzia_1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"/>
      <sheetName val="Sheet1"/>
      <sheetName val="Parameters_exp"/>
      <sheetName val="MFF"/>
      <sheetName val="MFF-2"/>
      <sheetName val="MFF-3"/>
      <sheetName val="MFF-4"/>
      <sheetName val="SPLITS"/>
      <sheetName val="Matrix"/>
      <sheetName val="Macro inputs"/>
      <sheetName val="Indicators"/>
      <sheetName val="By MS"/>
      <sheetName val="Prgm_map"/>
      <sheetName val="ALL_back-look"/>
      <sheetName val="H.6"/>
      <sheetName val="1.1EFSI"/>
      <sheetName val="1.1NEW"/>
      <sheetName val="1.1EgGal"/>
      <sheetName val="1.1ITER"/>
      <sheetName val="1.1Coper"/>
      <sheetName val="1.1NDAP"/>
      <sheetName val="1.1H2020"/>
      <sheetName val="1.1Eurat"/>
      <sheetName val="1.1COSME"/>
      <sheetName val="1.1Ersms"/>
      <sheetName val="1.1EaSI"/>
      <sheetName val="1.1OLAF"/>
      <sheetName val="1.1CEF.T"/>
      <sheetName val="1.1CEF.E"/>
      <sheetName val="1.1CEF.I"/>
      <sheetName val="1.1.OTH"/>
      <sheetName val="1.1.SPEC"/>
      <sheetName val="1.1.PPPA"/>
      <sheetName val="1.1.DAG"/>
      <sheetName val="1.1CNECT"/>
      <sheetName val="1.1COMP"/>
      <sheetName val="1.1Corps"/>
      <sheetName val="1.1.Dfnc"/>
      <sheetName val="1.1EEPR"/>
      <sheetName val="1.2.11"/>
      <sheetName val="1.2.12"/>
      <sheetName val="1.2.13"/>
      <sheetName val="1.2.14"/>
      <sheetName val="1.2.CF"/>
      <sheetName val="1.2.2"/>
      <sheetName val="1.2.31"/>
      <sheetName val="1.2.4"/>
      <sheetName val="1.2.5"/>
      <sheetName val="1.2.6"/>
      <sheetName val="1.2.JTF"/>
      <sheetName val="1.2.16"/>
      <sheetName val="1.2.Reform"/>
      <sheetName val="1.2.LOAN"/>
      <sheetName val="1.2.PPPA"/>
      <sheetName val="1.2.URP"/>
      <sheetName val="1.2.JTM"/>
      <sheetName val="2.EAGF"/>
      <sheetName val="2.0.2"/>
      <sheetName val="2.Rural"/>
      <sheetName val="2.EMFF"/>
      <sheetName val="2.SFPAs"/>
      <sheetName val="2.LIFE"/>
      <sheetName val="2.OTH"/>
      <sheetName val="2.SPEC"/>
      <sheetName val="2.DAG"/>
      <sheetName val="2.PPPA"/>
      <sheetName val="3.AMIF"/>
      <sheetName val="3.ISF"/>
      <sheetName val="3.0CUST"/>
      <sheetName val="3.ITsys"/>
      <sheetName val="3.JUST"/>
      <sheetName val="3.REC"/>
      <sheetName val="3.Civi3"/>
      <sheetName val="3.E4C"/>
      <sheetName val="3.FandF"/>
      <sheetName val="3.Healt"/>
      <sheetName val="3.Cons"/>
      <sheetName val="3.CREA"/>
      <sheetName val="3.IES"/>
      <sheetName val="3.OTH"/>
      <sheetName val="3.SPEC"/>
      <sheetName val="3.PPPA"/>
      <sheetName val="3.DAG"/>
      <sheetName val="4.IPA"/>
      <sheetName val="4.ENI"/>
      <sheetName val="4.DCI"/>
      <sheetName val="4.PartI"/>
      <sheetName val="4.EIDHR"/>
      <sheetName val="4.IcSP"/>
      <sheetName val="4.HUMA"/>
      <sheetName val="4.CFSP"/>
      <sheetName val="4.INSC"/>
      <sheetName val="4.MFA"/>
      <sheetName val="4.GrntF"/>
      <sheetName val="4.Civi4"/>
      <sheetName val="4.EUAV"/>
      <sheetName val="4.EFSD"/>
      <sheetName val="4.OTH"/>
      <sheetName val="4.SPEC"/>
      <sheetName val="4.PPPA"/>
      <sheetName val="4.DAG"/>
      <sheetName val="4.EDF"/>
      <sheetName val="1.Marg"/>
      <sheetName val="2.Marg"/>
      <sheetName val="3.Marg"/>
      <sheetName val="4.Marg"/>
      <sheetName val="5.Marg"/>
      <sheetName val="6.Marg"/>
      <sheetName val="Balance"/>
      <sheetName val="5.1.1"/>
      <sheetName val="5.1.2"/>
      <sheetName val="5.2.EP"/>
      <sheetName val="5.2.C"/>
      <sheetName val="5.2.COM"/>
      <sheetName val="5.2.CoJ"/>
      <sheetName val="5.2.CoA"/>
      <sheetName val="5.2.EESC"/>
      <sheetName val="5.2.CoR"/>
      <sheetName val="5.2.OMB"/>
      <sheetName val="5.2.EDPS"/>
      <sheetName val="5.2.EEAS"/>
      <sheetName val="Climate"/>
      <sheetName val="Biodiv"/>
    </sheetNames>
    <sheetDataSet>
      <sheetData sheetId="0">
        <row r="13">
          <cell r="A13" t="str">
            <v>1.1EFSI</v>
          </cell>
        </row>
        <row r="14">
          <cell r="A14" t="str">
            <v>1.1NEW</v>
          </cell>
        </row>
        <row r="15">
          <cell r="A15" t="str">
            <v>1.1EgGal</v>
          </cell>
        </row>
        <row r="16">
          <cell r="A16" t="str">
            <v>1.1ITER</v>
          </cell>
        </row>
        <row r="17">
          <cell r="A17" t="str">
            <v>1.1Coper</v>
          </cell>
        </row>
        <row r="18">
          <cell r="A18" t="str">
            <v>1.1NDAP</v>
          </cell>
        </row>
        <row r="19">
          <cell r="A19" t="str">
            <v>1.1H2020</v>
          </cell>
        </row>
        <row r="20">
          <cell r="A20" t="str">
            <v>1.1Eurat</v>
          </cell>
        </row>
        <row r="21">
          <cell r="A21" t="str">
            <v>1.1COSME</v>
          </cell>
        </row>
        <row r="22">
          <cell r="A22" t="str">
            <v>1.1Ersms</v>
          </cell>
        </row>
        <row r="23">
          <cell r="A23" t="str">
            <v>1.1EaSI</v>
          </cell>
        </row>
        <row r="24">
          <cell r="A24" t="str">
            <v>1.1OLAF</v>
          </cell>
        </row>
        <row r="25">
          <cell r="A25" t="str">
            <v>1.1CEF.T</v>
          </cell>
        </row>
        <row r="26">
          <cell r="A26" t="str">
            <v>1.1CEF.E</v>
          </cell>
        </row>
        <row r="27">
          <cell r="A27" t="str">
            <v>1.1CEF.I</v>
          </cell>
        </row>
        <row r="28">
          <cell r="A28" t="str">
            <v>1.1.OTH</v>
          </cell>
        </row>
        <row r="29">
          <cell r="A29" t="str">
            <v>1.1.SPEC</v>
          </cell>
        </row>
        <row r="30">
          <cell r="A30" t="str">
            <v>1.1.PPPA</v>
          </cell>
        </row>
        <row r="31">
          <cell r="A31" t="str">
            <v>1.1.DAG</v>
          </cell>
        </row>
        <row r="32">
          <cell r="A32" t="str">
            <v>1.1CNECT</v>
          </cell>
        </row>
        <row r="33">
          <cell r="A33" t="str">
            <v>1.1COMP</v>
          </cell>
        </row>
        <row r="34">
          <cell r="A34" t="str">
            <v>1.1Corps</v>
          </cell>
        </row>
        <row r="35">
          <cell r="A35" t="str">
            <v>1.1.Dfnc</v>
          </cell>
        </row>
        <row r="36">
          <cell r="A36" t="str">
            <v>1.1EEPR</v>
          </cell>
        </row>
        <row r="37">
          <cell r="A37" t="str">
            <v>1.2.11</v>
          </cell>
        </row>
        <row r="38">
          <cell r="A38" t="str">
            <v>1.2.12</v>
          </cell>
        </row>
        <row r="39">
          <cell r="A39" t="str">
            <v>1.2.13</v>
          </cell>
        </row>
        <row r="40">
          <cell r="A40" t="str">
            <v>1.2.14</v>
          </cell>
        </row>
        <row r="41">
          <cell r="A41" t="str">
            <v>1.2.CF</v>
          </cell>
        </row>
        <row r="42">
          <cell r="A42" t="str">
            <v>1.2.2</v>
          </cell>
        </row>
        <row r="43">
          <cell r="A43" t="str">
            <v>1.2.31</v>
          </cell>
        </row>
        <row r="44">
          <cell r="A44" t="str">
            <v>1.2.4</v>
          </cell>
        </row>
        <row r="45">
          <cell r="A45" t="str">
            <v>1.2.5</v>
          </cell>
        </row>
        <row r="46">
          <cell r="A46" t="str">
            <v>1.2.6</v>
          </cell>
        </row>
        <row r="47">
          <cell r="A47" t="str">
            <v>1.2.JTF</v>
          </cell>
        </row>
        <row r="48">
          <cell r="A48" t="str">
            <v>1.2.16</v>
          </cell>
        </row>
        <row r="49">
          <cell r="A49" t="str">
            <v>1.2.Reform</v>
          </cell>
        </row>
        <row r="50">
          <cell r="A50" t="str">
            <v>1.2.LOAN</v>
          </cell>
        </row>
        <row r="51">
          <cell r="A51" t="str">
            <v>1.2.PPPA</v>
          </cell>
        </row>
        <row r="52">
          <cell r="A52" t="str">
            <v>1.2.URP</v>
          </cell>
        </row>
        <row r="53">
          <cell r="A53" t="str">
            <v>1.2.JTM</v>
          </cell>
        </row>
        <row r="54">
          <cell r="A54" t="str">
            <v>2.EAGF</v>
          </cell>
        </row>
        <row r="55">
          <cell r="A55" t="str">
            <v>2.0.2</v>
          </cell>
        </row>
        <row r="56">
          <cell r="A56" t="str">
            <v>2.Rural</v>
          </cell>
        </row>
        <row r="57">
          <cell r="A57" t="str">
            <v>2.EMFF</v>
          </cell>
        </row>
        <row r="58">
          <cell r="A58" t="str">
            <v>2.SFPAs</v>
          </cell>
        </row>
        <row r="59">
          <cell r="A59" t="str">
            <v>2.LIFE</v>
          </cell>
        </row>
        <row r="60">
          <cell r="A60" t="str">
            <v>2.OTH</v>
          </cell>
        </row>
        <row r="61">
          <cell r="A61" t="str">
            <v>2.SPEC</v>
          </cell>
        </row>
        <row r="62">
          <cell r="A62" t="str">
            <v>2.DAG</v>
          </cell>
        </row>
        <row r="63">
          <cell r="A63" t="str">
            <v>2.PPPA</v>
          </cell>
        </row>
        <row r="64">
          <cell r="A64" t="str">
            <v>3.AMIF</v>
          </cell>
        </row>
        <row r="65">
          <cell r="A65" t="str">
            <v>3.ISF</v>
          </cell>
        </row>
        <row r="66">
          <cell r="A66" t="str">
            <v>3.0CUST</v>
          </cell>
        </row>
        <row r="67">
          <cell r="A67" t="str">
            <v>3.ITsys</v>
          </cell>
        </row>
        <row r="68">
          <cell r="A68" t="str">
            <v>3.JUST</v>
          </cell>
        </row>
        <row r="69">
          <cell r="A69" t="str">
            <v>3.REC</v>
          </cell>
        </row>
        <row r="70">
          <cell r="A70" t="str">
            <v>3.Civi3</v>
          </cell>
        </row>
        <row r="71">
          <cell r="A71" t="str">
            <v>3.E4C</v>
          </cell>
        </row>
        <row r="72">
          <cell r="A72" t="str">
            <v>3.FandF</v>
          </cell>
        </row>
        <row r="73">
          <cell r="A73" t="str">
            <v>3.Healt</v>
          </cell>
        </row>
        <row r="74">
          <cell r="A74" t="str">
            <v>3.Cons</v>
          </cell>
        </row>
        <row r="75">
          <cell r="A75" t="str">
            <v>3.CREA</v>
          </cell>
        </row>
        <row r="76">
          <cell r="A76" t="str">
            <v>3.IES</v>
          </cell>
        </row>
        <row r="77">
          <cell r="A77" t="str">
            <v>3.OTH</v>
          </cell>
        </row>
        <row r="78">
          <cell r="A78" t="str">
            <v>3.SPEC</v>
          </cell>
        </row>
        <row r="79">
          <cell r="A79" t="str">
            <v>3.PPPA</v>
          </cell>
        </row>
        <row r="80">
          <cell r="A80" t="str">
            <v>3.DAG</v>
          </cell>
        </row>
        <row r="81">
          <cell r="A81" t="str">
            <v>4.IPA</v>
          </cell>
        </row>
        <row r="82">
          <cell r="A82" t="str">
            <v>4.ENI</v>
          </cell>
        </row>
        <row r="83">
          <cell r="A83" t="str">
            <v>4.DCI</v>
          </cell>
        </row>
        <row r="84">
          <cell r="A84" t="str">
            <v>4.PartI</v>
          </cell>
        </row>
        <row r="85">
          <cell r="A85" t="str">
            <v>4.EIDHR</v>
          </cell>
        </row>
        <row r="86">
          <cell r="A86" t="str">
            <v>4.IcSP</v>
          </cell>
        </row>
        <row r="87">
          <cell r="A87" t="str">
            <v>4.HUMA</v>
          </cell>
        </row>
        <row r="88">
          <cell r="A88" t="str">
            <v>4.CFSP</v>
          </cell>
        </row>
        <row r="89">
          <cell r="A89" t="str">
            <v>4.INSC</v>
          </cell>
        </row>
        <row r="90">
          <cell r="A90" t="str">
            <v>4.MFA</v>
          </cell>
        </row>
        <row r="91">
          <cell r="A91" t="str">
            <v>4.GrntF</v>
          </cell>
        </row>
        <row r="92">
          <cell r="A92" t="str">
            <v>4.Civi4</v>
          </cell>
        </row>
        <row r="93">
          <cell r="A93" t="str">
            <v>4.EUAV</v>
          </cell>
        </row>
        <row r="94">
          <cell r="A94" t="str">
            <v>4.EFSD</v>
          </cell>
        </row>
        <row r="95">
          <cell r="A95" t="str">
            <v>4.OTH</v>
          </cell>
        </row>
        <row r="96">
          <cell r="A96" t="str">
            <v>4.SPEC</v>
          </cell>
        </row>
        <row r="97">
          <cell r="A97" t="str">
            <v>4.PPPA</v>
          </cell>
        </row>
        <row r="98">
          <cell r="A98" t="str">
            <v>4.DAG</v>
          </cell>
        </row>
        <row r="99">
          <cell r="A99" t="str">
            <v>4.EDF</v>
          </cell>
        </row>
        <row r="100">
          <cell r="A100" t="str">
            <v>1.Marg</v>
          </cell>
        </row>
        <row r="101">
          <cell r="A101" t="str">
            <v>2.Marg</v>
          </cell>
        </row>
        <row r="102">
          <cell r="A102" t="str">
            <v>3.Marg</v>
          </cell>
        </row>
        <row r="103">
          <cell r="A103" t="str">
            <v>4.Marg</v>
          </cell>
        </row>
        <row r="104">
          <cell r="A104" t="str">
            <v>5.Marg</v>
          </cell>
        </row>
        <row r="105">
          <cell r="A105" t="str">
            <v>6.Marg</v>
          </cell>
        </row>
        <row r="106">
          <cell r="A106" t="str">
            <v>Balance</v>
          </cell>
        </row>
        <row r="107">
          <cell r="A107" t="str">
            <v>5.1.1</v>
          </cell>
        </row>
        <row r="108">
          <cell r="A108" t="str">
            <v>5.1.2</v>
          </cell>
        </row>
        <row r="109">
          <cell r="A109" t="str">
            <v>5.2.EP</v>
          </cell>
        </row>
        <row r="110">
          <cell r="A110" t="str">
            <v>5.2.C</v>
          </cell>
        </row>
        <row r="111">
          <cell r="A111" t="str">
            <v>5.2.COM</v>
          </cell>
        </row>
        <row r="112">
          <cell r="A112" t="str">
            <v>5.2.CoJ</v>
          </cell>
        </row>
        <row r="113">
          <cell r="A113" t="str">
            <v>5.2.CoA</v>
          </cell>
        </row>
        <row r="114">
          <cell r="A114" t="str">
            <v>5.2.EESC</v>
          </cell>
        </row>
        <row r="115">
          <cell r="A115" t="str">
            <v>5.2.CoR</v>
          </cell>
        </row>
        <row r="116">
          <cell r="A116" t="str">
            <v>5.2.OMB</v>
          </cell>
        </row>
        <row r="117">
          <cell r="A117" t="str">
            <v>5.2.EDPS</v>
          </cell>
        </row>
        <row r="118">
          <cell r="A118" t="str">
            <v>5.2.EEAS</v>
          </cell>
        </row>
      </sheetData>
      <sheetData sheetId="1" refreshError="1"/>
      <sheetData sheetId="2" refreshError="1"/>
      <sheetData sheetId="3">
        <row r="19">
          <cell r="C19">
            <v>163483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Q1" t="str">
            <v>2014-2020+EDF --&gt; frozen, no inflation</v>
          </cell>
        </row>
        <row r="2">
          <cell r="Q2" t="str">
            <v>2014-2020+EDF --&gt; frozen, with inflation</v>
          </cell>
          <cell r="AC2" t="str">
            <v>2b. Resilience and Values</v>
          </cell>
        </row>
        <row r="3">
          <cell r="Q3" t="str">
            <v>1,05% core MFF scenario</v>
          </cell>
          <cell r="X3" t="str">
            <v>1. Research and Innovation</v>
          </cell>
          <cell r="AC3" t="str">
            <v>2a. Economic, social and territorial cohesion</v>
          </cell>
        </row>
        <row r="4">
          <cell r="Q4" t="str">
            <v>1,07% core MFF scenario</v>
          </cell>
          <cell r="U4" t="str">
            <v>1.SIF</v>
          </cell>
          <cell r="X4" t="str">
            <v>2. European Strategic Investments</v>
          </cell>
          <cell r="AC4" t="str">
            <v>Of which: Market related expenditure and direct payments</v>
          </cell>
        </row>
        <row r="5">
          <cell r="J5" t="str">
            <v>Historical share</v>
          </cell>
          <cell r="K5" t="str">
            <v>Yes</v>
          </cell>
          <cell r="L5" t="str">
            <v>N+2</v>
          </cell>
          <cell r="Q5" t="str">
            <v>1,10% scenario core MFF (EU 27 new model)</v>
          </cell>
          <cell r="U5" t="str">
            <v>1.SPACE</v>
          </cell>
          <cell r="X5" t="str">
            <v>4. Space</v>
          </cell>
          <cell r="AC5" t="str">
            <v>Of which: Administrative expenditure of the institutions</v>
          </cell>
        </row>
        <row r="6">
          <cell r="J6" t="str">
            <v>Fixed reduction</v>
          </cell>
          <cell r="K6" t="str">
            <v>No</v>
          </cell>
          <cell r="L6" t="str">
            <v>N+3</v>
          </cell>
          <cell r="Q6" t="str">
            <v>1,11% scenario</v>
          </cell>
          <cell r="U6" t="str">
            <v>1.ITER</v>
          </cell>
          <cell r="X6" t="str">
            <v>3. Single Market</v>
          </cell>
        </row>
        <row r="7">
          <cell r="J7" t="str">
            <v>Ad-hoc</v>
          </cell>
          <cell r="L7" t="str">
            <v>Greek rule</v>
          </cell>
          <cell r="Q7" t="str">
            <v>1,12% MFF scenario (+Reform)</v>
          </cell>
          <cell r="U7" t="str">
            <v>2.Corps</v>
          </cell>
          <cell r="X7" t="str">
            <v>5. Regional Development and Cohesion</v>
          </cell>
        </row>
        <row r="8">
          <cell r="J8" t="str">
            <v>No impact</v>
          </cell>
          <cell r="Q8" t="str">
            <v>1,15% MFF scenario (+EMU)</v>
          </cell>
          <cell r="U8" t="str">
            <v>4.Nuclear</v>
          </cell>
          <cell r="X8" t="str">
            <v>6. Recovery and Resilience</v>
          </cell>
        </row>
        <row r="9">
          <cell r="U9" t="str">
            <v>4.Nuclear_LT</v>
          </cell>
        </row>
        <row r="10">
          <cell r="U10" t="str">
            <v>1.R&amp;D</v>
          </cell>
          <cell r="X10" t="str">
            <v>7. Investing in People, Social Cohesion and Values</v>
          </cell>
        </row>
        <row r="11">
          <cell r="U11" t="str">
            <v>2.Erasmus</v>
          </cell>
          <cell r="X11" t="str">
            <v>8. Agriculture and Maritime Policy</v>
          </cell>
        </row>
        <row r="12">
          <cell r="B12" t="str">
            <v>Cohesion policy</v>
          </cell>
          <cell r="H12" t="str">
            <v>Cut beyond UK share</v>
          </cell>
          <cell r="N12" t="str">
            <v>Spring 2018</v>
          </cell>
          <cell r="U12" t="str">
            <v>2.HumanCapital</v>
          </cell>
          <cell r="X12" t="str">
            <v>9. Environment and Climate Action</v>
          </cell>
        </row>
        <row r="13">
          <cell r="B13" t="str">
            <v>Security</v>
          </cell>
          <cell r="H13" t="str">
            <v>Agreed</v>
          </cell>
          <cell r="N13" t="str">
            <v>Autumn 2018</v>
          </cell>
          <cell r="U13" t="str">
            <v>2.EaSI</v>
          </cell>
          <cell r="X13" t="str">
            <v>12. Security</v>
          </cell>
        </row>
        <row r="14">
          <cell r="B14" t="str">
            <v>CAP &amp; Fisheries</v>
          </cell>
          <cell r="H14" t="str">
            <v>Cut for UK share</v>
          </cell>
          <cell r="N14" t="str">
            <v>Spring 2019</v>
          </cell>
          <cell r="U14" t="str">
            <v>1.MARKET</v>
          </cell>
          <cell r="X14" t="str">
            <v>10. Migration</v>
          </cell>
        </row>
        <row r="15">
          <cell r="B15" t="str">
            <v>Migration &amp; security</v>
          </cell>
          <cell r="H15" t="str">
            <v>Stable</v>
          </cell>
          <cell r="N15" t="str">
            <v>Autumn 2019</v>
          </cell>
          <cell r="U15" t="str">
            <v>4.FRAUD</v>
          </cell>
          <cell r="X15" t="str">
            <v>11. Nuclear Safety</v>
          </cell>
        </row>
        <row r="16">
          <cell r="B16" t="str">
            <v>External policies</v>
          </cell>
          <cell r="H16" t="str">
            <v>Balancing</v>
          </cell>
          <cell r="N16" t="str">
            <v>Spring 2020</v>
          </cell>
          <cell r="U16" t="str">
            <v>1.CUSTOMS</v>
          </cell>
          <cell r="X16" t="str">
            <v>14. Resilience and Crisis Response</v>
          </cell>
        </row>
        <row r="17">
          <cell r="B17" t="str">
            <v>Other internal policies</v>
          </cell>
          <cell r="H17" t="str">
            <v>Pre-agreed &amp; priorities</v>
          </cell>
          <cell r="N17" t="str">
            <v>Autumn 2020</v>
          </cell>
          <cell r="U17" t="str">
            <v>1.FISCALIS</v>
          </cell>
          <cell r="X17" t="str">
            <v>13. Defence</v>
          </cell>
        </row>
        <row r="18">
          <cell r="B18" t="str">
            <v>Administration</v>
          </cell>
          <cell r="H18" t="str">
            <v>Special Instruments</v>
          </cell>
          <cell r="U18" t="str">
            <v>1.CEF</v>
          </cell>
          <cell r="X18" t="str">
            <v>14. External Action</v>
          </cell>
        </row>
        <row r="19">
          <cell r="B19" t="str">
            <v>Special instruments</v>
          </cell>
          <cell r="U19" t="str">
            <v>1.Digital</v>
          </cell>
          <cell r="X19" t="str">
            <v>15. Pre-accession assistance</v>
          </cell>
        </row>
        <row r="20">
          <cell r="B20" t="str">
            <v>Research and innovation</v>
          </cell>
          <cell r="U20" t="str">
            <v>2.TA_ESF</v>
          </cell>
          <cell r="X20" t="str">
            <v>Instruments outside the MFF</v>
          </cell>
        </row>
        <row r="21">
          <cell r="B21" t="str">
            <v>Margins</v>
          </cell>
          <cell r="U21" t="str">
            <v>1.PPPA</v>
          </cell>
          <cell r="X21" t="str">
            <v>Margin</v>
          </cell>
        </row>
        <row r="22">
          <cell r="B22" t="str">
            <v>EDF</v>
          </cell>
          <cell r="H22" t="str">
            <v>Current</v>
          </cell>
          <cell r="J22" t="str">
            <v>2 May proposal</v>
          </cell>
          <cell r="U22" t="str">
            <v>2.TA_SRSS</v>
          </cell>
          <cell r="X22" t="str">
            <v>Administration</v>
          </cell>
        </row>
        <row r="23">
          <cell r="B23" t="str">
            <v>Erasmus</v>
          </cell>
          <cell r="H23" t="str">
            <v>Constant</v>
          </cell>
          <cell r="J23" t="str">
            <v>2014-2020 EU27 in nominal terms</v>
          </cell>
          <cell r="U23" t="str">
            <v>9.EMU</v>
          </cell>
          <cell r="X23" t="str">
            <v>Balance</v>
          </cell>
        </row>
        <row r="24">
          <cell r="B24" t="str">
            <v>CEF</v>
          </cell>
          <cell r="J24" t="str">
            <v>2014-2020 EU27 in real terms</v>
          </cell>
          <cell r="U24" t="str">
            <v>2.ERDF</v>
          </cell>
          <cell r="X24" t="str">
            <v>11. Border Management</v>
          </cell>
        </row>
        <row r="25">
          <cell r="B25" t="str">
            <v>Defence fund</v>
          </cell>
          <cell r="J25" t="str">
            <v>2020*7 EU27 in nominal terms</v>
          </cell>
          <cell r="U25" t="str">
            <v>2.Cohesion</v>
          </cell>
        </row>
        <row r="26">
          <cell r="B26" t="str">
            <v>Reform</v>
          </cell>
          <cell r="J26" t="str">
            <v>2020*7 EU27 in real terms</v>
          </cell>
          <cell r="U26" t="str">
            <v>2.TA_cohesion</v>
          </cell>
        </row>
        <row r="27">
          <cell r="B27" t="str">
            <v>Digital</v>
          </cell>
          <cell r="J27" t="str">
            <v>One third (current prices)</v>
          </cell>
          <cell r="U27" t="str">
            <v>2.Reform</v>
          </cell>
        </row>
        <row r="28">
          <cell r="B28" t="str">
            <v>EMU</v>
          </cell>
          <cell r="J28" t="str">
            <v>One third (constant prices)</v>
          </cell>
          <cell r="U28" t="str">
            <v>2.PPPA</v>
          </cell>
        </row>
        <row r="29">
          <cell r="B29" t="str">
            <v>Space</v>
          </cell>
          <cell r="J29" t="str">
            <v>User defined</v>
          </cell>
          <cell r="U29" t="str">
            <v>3.EAGF</v>
          </cell>
        </row>
        <row r="30">
          <cell r="J30" t="str">
            <v>Not fixed</v>
          </cell>
          <cell r="U30" t="str">
            <v>3.EAFRD</v>
          </cell>
        </row>
        <row r="31">
          <cell r="U31" t="str">
            <v>3.FISH</v>
          </cell>
        </row>
        <row r="32">
          <cell r="U32" t="str">
            <v>3.LIFE_env</v>
          </cell>
        </row>
        <row r="33">
          <cell r="U33" t="str">
            <v>3.LIFE_clima</v>
          </cell>
        </row>
        <row r="34">
          <cell r="U34" t="str">
            <v>3.LIFE_ener</v>
          </cell>
        </row>
        <row r="35">
          <cell r="U35" t="str">
            <v>3.OTH</v>
          </cell>
        </row>
        <row r="36">
          <cell r="U36" t="str">
            <v>3.PPPA</v>
          </cell>
        </row>
        <row r="37">
          <cell r="U37" t="str">
            <v>2.OTH_cohesion</v>
          </cell>
        </row>
        <row r="38">
          <cell r="U38" t="str">
            <v>4.AMIF</v>
          </cell>
        </row>
        <row r="39">
          <cell r="U39" t="str">
            <v>4.ISF</v>
          </cell>
        </row>
        <row r="40">
          <cell r="U40" t="str">
            <v>4.Border</v>
          </cell>
        </row>
        <row r="41">
          <cell r="U41" t="str">
            <v>2.Justice</v>
          </cell>
        </row>
        <row r="42">
          <cell r="U42" t="str">
            <v>2.Values</v>
          </cell>
        </row>
        <row r="43">
          <cell r="U43" t="str">
            <v>2.Values_media</v>
          </cell>
        </row>
        <row r="44">
          <cell r="U44" t="str">
            <v>4.RescEU</v>
          </cell>
        </row>
        <row r="45">
          <cell r="U45" t="str">
            <v>2.OTH_CorpCom</v>
          </cell>
        </row>
        <row r="46">
          <cell r="U46" t="str">
            <v>4.PPPA</v>
          </cell>
        </row>
        <row r="47">
          <cell r="U47" t="str">
            <v>4b.Others_nuclear</v>
          </cell>
        </row>
        <row r="48">
          <cell r="U48" t="str">
            <v>4.Defence</v>
          </cell>
        </row>
        <row r="49">
          <cell r="U49" t="str">
            <v>5.IPA</v>
          </cell>
        </row>
        <row r="50">
          <cell r="U50" t="str">
            <v>5.ICI</v>
          </cell>
        </row>
        <row r="51">
          <cell r="U51" t="str">
            <v>5.HUMA</v>
          </cell>
        </row>
        <row r="52">
          <cell r="U52" t="str">
            <v>5.CFSP</v>
          </cell>
        </row>
        <row r="53">
          <cell r="U53" t="str">
            <v>5.ExternalSIF</v>
          </cell>
        </row>
        <row r="54">
          <cell r="U54" t="str">
            <v>5.OTH</v>
          </cell>
        </row>
        <row r="55">
          <cell r="U55" t="str">
            <v>5.PPPA</v>
          </cell>
        </row>
        <row r="56">
          <cell r="U56" t="str">
            <v>6a</v>
          </cell>
        </row>
        <row r="57">
          <cell r="U57">
            <v>6</v>
          </cell>
        </row>
        <row r="58">
          <cell r="U58" t="str">
            <v>9.RESER</v>
          </cell>
        </row>
        <row r="59">
          <cell r="U59" t="str">
            <v>9.EAR</v>
          </cell>
        </row>
        <row r="60">
          <cell r="U60" t="str">
            <v>9.EGF</v>
          </cell>
        </row>
        <row r="61">
          <cell r="U61" t="str">
            <v>9.EUSF</v>
          </cell>
        </row>
        <row r="62">
          <cell r="U62" t="str">
            <v>1.Marg</v>
          </cell>
        </row>
        <row r="63">
          <cell r="U63" t="str">
            <v>2.Marg</v>
          </cell>
        </row>
        <row r="64">
          <cell r="U64" t="str">
            <v>3.Marg</v>
          </cell>
        </row>
        <row r="65">
          <cell r="U65" t="str">
            <v>4.Marg</v>
          </cell>
        </row>
        <row r="66">
          <cell r="U66" t="str">
            <v>5.Marg</v>
          </cell>
        </row>
        <row r="67">
          <cell r="U67" t="str">
            <v>6.Marg</v>
          </cell>
        </row>
        <row r="68">
          <cell r="U68" t="str">
            <v>2.Health</v>
          </cell>
        </row>
        <row r="69">
          <cell r="U69" t="str">
            <v>1.COSME</v>
          </cell>
        </row>
        <row r="70">
          <cell r="U70" t="str">
            <v>3.FISH_2</v>
          </cell>
        </row>
        <row r="71">
          <cell r="U71" t="str">
            <v>4.FRONTEX</v>
          </cell>
        </row>
        <row r="72">
          <cell r="U72" t="str">
            <v>4.Europol</v>
          </cell>
        </row>
        <row r="73">
          <cell r="U73" t="str">
            <v>4.euLISA</v>
          </cell>
        </row>
        <row r="74">
          <cell r="U74" t="str">
            <v>4.EASO</v>
          </cell>
        </row>
        <row r="75">
          <cell r="U75" t="str">
            <v>8.Balance</v>
          </cell>
        </row>
        <row r="76">
          <cell r="U76" t="str">
            <v>1.Eurat</v>
          </cell>
        </row>
        <row r="77">
          <cell r="U77" t="str">
            <v>5.Erasmus_ext</v>
          </cell>
        </row>
        <row r="78">
          <cell r="U78" t="str">
            <v>5.RescEU_ext</v>
          </cell>
        </row>
        <row r="79">
          <cell r="U79" t="str">
            <v>5.TK-CY</v>
          </cell>
        </row>
        <row r="80">
          <cell r="U80" t="str">
            <v>1.OTH_research</v>
          </cell>
        </row>
        <row r="81">
          <cell r="U81" t="str">
            <v>1.OTH_infra</v>
          </cell>
        </row>
        <row r="82">
          <cell r="U82" t="str">
            <v>1.OTH_market</v>
          </cell>
        </row>
        <row r="83">
          <cell r="U83" t="str">
            <v>2.OTH_emu</v>
          </cell>
        </row>
        <row r="84">
          <cell r="U84" t="str">
            <v>2.OTH_ppl</v>
          </cell>
        </row>
        <row r="85">
          <cell r="U85" t="str">
            <v>5.OTH_Greenl</v>
          </cell>
        </row>
        <row r="86">
          <cell r="U86" t="str">
            <v>4.MilMobile</v>
          </cell>
        </row>
        <row r="87">
          <cell r="U87" t="str">
            <v>1.R&amp;D_d</v>
          </cell>
        </row>
        <row r="88">
          <cell r="U88" t="str">
            <v>1.CEF-T</v>
          </cell>
        </row>
        <row r="89">
          <cell r="U89" t="str">
            <v>1.CEF-E</v>
          </cell>
        </row>
        <row r="90">
          <cell r="U90" t="str">
            <v>1.CEF-D</v>
          </cell>
        </row>
        <row r="91">
          <cell r="U91" t="str">
            <v>1.R&amp;D_invest</v>
          </cell>
        </row>
        <row r="92">
          <cell r="U92" t="str">
            <v>1.COSME_invest</v>
          </cell>
        </row>
        <row r="93">
          <cell r="U93" t="str">
            <v>9.Peace</v>
          </cell>
        </row>
        <row r="94">
          <cell r="U94" t="str">
            <v>1.DAG_ENISA</v>
          </cell>
        </row>
        <row r="95">
          <cell r="U95" t="str">
            <v>1.DAG_EASA</v>
          </cell>
        </row>
        <row r="96">
          <cell r="U96" t="str">
            <v>1.DAG_EMSA</v>
          </cell>
        </row>
        <row r="97">
          <cell r="U97" t="str">
            <v>1.DAG_ERA</v>
          </cell>
        </row>
        <row r="98">
          <cell r="U98" t="str">
            <v>1.DAG_ACER</v>
          </cell>
        </row>
        <row r="99">
          <cell r="U99" t="str">
            <v>1.DAG_BEREC</v>
          </cell>
        </row>
        <row r="100">
          <cell r="U100" t="str">
            <v>1.DAG_space</v>
          </cell>
        </row>
        <row r="101">
          <cell r="U101" t="str">
            <v>1.DAG_SRB</v>
          </cell>
        </row>
        <row r="102">
          <cell r="U102" t="str">
            <v>1.DAG_EBA</v>
          </cell>
        </row>
        <row r="103">
          <cell r="U103" t="str">
            <v>1.DAG_EIOPA</v>
          </cell>
        </row>
        <row r="104">
          <cell r="U104" t="str">
            <v>1.DAG_ESMA</v>
          </cell>
        </row>
        <row r="105">
          <cell r="U105" t="str">
            <v>1.DAG_ECHA-Chem</v>
          </cell>
        </row>
        <row r="106">
          <cell r="U106" t="str">
            <v>1.DAG_ECHA-Bio</v>
          </cell>
        </row>
        <row r="107">
          <cell r="U107" t="str">
            <v>1.DAG_ECDC</v>
          </cell>
        </row>
        <row r="108">
          <cell r="U108" t="str">
            <v>1.DAG_EFSA</v>
          </cell>
        </row>
        <row r="109">
          <cell r="U109" t="str">
            <v>1.DAG_EMA</v>
          </cell>
        </row>
        <row r="110">
          <cell r="U110" t="str">
            <v>2.DAG_ELA</v>
          </cell>
        </row>
        <row r="111">
          <cell r="U111" t="str">
            <v>2.DAG_Eurofound</v>
          </cell>
        </row>
        <row r="112">
          <cell r="U112" t="str">
            <v>2.DAG_OSHA</v>
          </cell>
        </row>
        <row r="113">
          <cell r="U113" t="str">
            <v>2.DAG_CEDEFOP</v>
          </cell>
        </row>
        <row r="114">
          <cell r="U114" t="str">
            <v>2.DAG_EIGE</v>
          </cell>
        </row>
        <row r="115">
          <cell r="U115" t="str">
            <v>2.DAG_FRA</v>
          </cell>
        </row>
        <row r="116">
          <cell r="U116" t="str">
            <v>2.DAG_Eurojust</v>
          </cell>
        </row>
        <row r="117">
          <cell r="U117" t="str">
            <v>2.DAG_EPPO</v>
          </cell>
        </row>
        <row r="118">
          <cell r="U118" t="str">
            <v>3.DAG_EFCA</v>
          </cell>
        </row>
        <row r="119">
          <cell r="U119" t="str">
            <v>3.DAG_EEA</v>
          </cell>
        </row>
        <row r="120">
          <cell r="U120" t="str">
            <v>3.DAG_ECHA-PIC</v>
          </cell>
        </row>
        <row r="121">
          <cell r="U121" t="str">
            <v>4.CEPOL</v>
          </cell>
        </row>
        <row r="122">
          <cell r="U122" t="str">
            <v>4.EMCDDA</v>
          </cell>
        </row>
        <row r="123">
          <cell r="U123" t="str">
            <v>5.ETF</v>
          </cell>
        </row>
        <row r="124">
          <cell r="U124" t="str">
            <v>4.EURO</v>
          </cell>
        </row>
        <row r="125">
          <cell r="U125" t="str">
            <v>1.ESTAT</v>
          </cell>
        </row>
        <row r="126">
          <cell r="U126" t="str">
            <v>4.ECHO</v>
          </cell>
        </row>
        <row r="127">
          <cell r="U127" t="str">
            <v>4b.Marg</v>
          </cell>
        </row>
        <row r="128">
          <cell r="U128" t="str">
            <v>1.2.JTM</v>
          </cell>
        </row>
        <row r="129">
          <cell r="U129" t="str">
            <v>1.2.LOAN</v>
          </cell>
        </row>
        <row r="130">
          <cell r="U130" t="str">
            <v>2.REACT</v>
          </cell>
        </row>
        <row r="131">
          <cell r="U131" t="str">
            <v>1.OTH_eif</v>
          </cell>
        </row>
        <row r="132">
          <cell r="U132" t="str">
            <v>1.R&amp;D_agri</v>
          </cell>
        </row>
        <row r="133">
          <cell r="U133" t="str">
            <v>2.CREA</v>
          </cell>
        </row>
        <row r="134">
          <cell r="U134" t="str">
            <v>2.CREA_media</v>
          </cell>
        </row>
        <row r="135">
          <cell r="U135" t="str">
            <v>9.EDF</v>
          </cell>
        </row>
        <row r="136">
          <cell r="U136" t="str">
            <v>2.JTF</v>
          </cell>
        </row>
        <row r="137">
          <cell r="U137" t="str">
            <v>2.Health_old</v>
          </cell>
        </row>
        <row r="138">
          <cell r="U138" t="str">
            <v>1.DAG_EFSA_old</v>
          </cell>
        </row>
        <row r="139">
          <cell r="U139" t="str">
            <v>1.DAG_EMA_old</v>
          </cell>
        </row>
        <row r="140">
          <cell r="U140" t="str">
            <v>1.DAG_ECDC_old</v>
          </cell>
        </row>
        <row r="141">
          <cell r="U141" t="str">
            <v>1.0.1PPPA</v>
          </cell>
        </row>
        <row r="142">
          <cell r="U142" t="str">
            <v>1.0.2PPPA</v>
          </cell>
        </row>
        <row r="143">
          <cell r="U143" t="str">
            <v>1.0.3PPPA</v>
          </cell>
        </row>
        <row r="144">
          <cell r="U144" t="str">
            <v>2.1.1PPPA</v>
          </cell>
        </row>
        <row r="145">
          <cell r="U145" t="str">
            <v>2.2.2PPPA</v>
          </cell>
        </row>
        <row r="146">
          <cell r="U146" t="str">
            <v>2.2.3PPPA</v>
          </cell>
        </row>
        <row r="147">
          <cell r="U147" t="str">
            <v>3.2.1PPPA</v>
          </cell>
        </row>
        <row r="148">
          <cell r="U148" t="str">
            <v>3.2.2PPPA</v>
          </cell>
        </row>
        <row r="149">
          <cell r="U149" t="str">
            <v>4.0.1PPPA</v>
          </cell>
        </row>
        <row r="150">
          <cell r="U150" t="str">
            <v>5.0.1PPPA</v>
          </cell>
        </row>
        <row r="151">
          <cell r="U151" t="str">
            <v>5.0.2PPPA</v>
          </cell>
        </row>
        <row r="152">
          <cell r="U152" t="str">
            <v>5.0.3PPPA</v>
          </cell>
        </row>
        <row r="153">
          <cell r="U153" t="str">
            <v>6.0.1PPPA</v>
          </cell>
        </row>
        <row r="154">
          <cell r="U154" t="str">
            <v>6.0.2PPPA</v>
          </cell>
        </row>
        <row r="157">
          <cell r="U157" t="str">
            <v>2.ETF</v>
          </cell>
        </row>
        <row r="158">
          <cell r="U158" t="str">
            <v>2.URP</v>
          </cell>
        </row>
      </sheetData>
      <sheetData sheetId="9" refreshError="1"/>
      <sheetData sheetId="10" refreshError="1"/>
      <sheetData sheetId="11" refreshError="1"/>
      <sheetData sheetId="12">
        <row r="21">
          <cell r="B21" t="str">
            <v>1. Single Market, Innovation and Digital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 alloc breakdn OP-Fund-cat-yr"/>
      <sheetName val="Lists"/>
      <sheetName val="Full List Cohesion Policy"/>
      <sheetName val="List of BLs"/>
    </sheetNames>
    <sheetDataSet>
      <sheetData sheetId="0"/>
      <sheetData sheetId="1">
        <row r="2">
          <cell r="A2" t="str">
            <v>BE</v>
          </cell>
          <cell r="B2" t="str">
            <v>2.1</v>
          </cell>
          <cell r="C2" t="str">
            <v>ERDF</v>
          </cell>
        </row>
        <row r="3">
          <cell r="A3" t="str">
            <v>BG</v>
          </cell>
          <cell r="B3" t="str">
            <v>2.1</v>
          </cell>
          <cell r="C3" t="str">
            <v>ERDF ETC</v>
          </cell>
        </row>
        <row r="4">
          <cell r="A4" t="str">
            <v>CZ</v>
          </cell>
          <cell r="B4" t="str">
            <v>2.1</v>
          </cell>
          <cell r="C4" t="str">
            <v>ESF+</v>
          </cell>
        </row>
        <row r="5">
          <cell r="A5" t="str">
            <v>DK</v>
          </cell>
          <cell r="B5" t="str">
            <v>2.1</v>
          </cell>
          <cell r="C5" t="str">
            <v>CF</v>
          </cell>
        </row>
        <row r="6">
          <cell r="A6" t="str">
            <v>DE</v>
          </cell>
          <cell r="B6">
            <v>3</v>
          </cell>
          <cell r="C6" t="str">
            <v>JTF</v>
          </cell>
        </row>
        <row r="7">
          <cell r="A7" t="str">
            <v>EE</v>
          </cell>
          <cell r="B7">
            <v>3</v>
          </cell>
          <cell r="C7" t="str">
            <v>EAFRD</v>
          </cell>
        </row>
        <row r="8">
          <cell r="A8" t="str">
            <v>IE</v>
          </cell>
          <cell r="B8">
            <v>3</v>
          </cell>
          <cell r="C8" t="str">
            <v>EMFAF</v>
          </cell>
        </row>
        <row r="9">
          <cell r="A9" t="str">
            <v>EL</v>
          </cell>
          <cell r="B9">
            <v>4</v>
          </cell>
          <cell r="C9" t="str">
            <v>AMIF</v>
          </cell>
        </row>
        <row r="10">
          <cell r="A10" t="str">
            <v>ES</v>
          </cell>
          <cell r="B10">
            <v>4</v>
          </cell>
          <cell r="C10" t="str">
            <v>IBMF</v>
          </cell>
        </row>
        <row r="11">
          <cell r="A11" t="str">
            <v>FR</v>
          </cell>
          <cell r="B11">
            <v>5</v>
          </cell>
          <cell r="C11" t="str">
            <v>ISF</v>
          </cell>
        </row>
        <row r="12">
          <cell r="A12" t="str">
            <v>HR</v>
          </cell>
        </row>
        <row r="13">
          <cell r="A13" t="str">
            <v>IT</v>
          </cell>
        </row>
        <row r="14">
          <cell r="A14" t="str">
            <v>CY</v>
          </cell>
        </row>
        <row r="15">
          <cell r="A15" t="str">
            <v>LV</v>
          </cell>
        </row>
        <row r="16">
          <cell r="A16" t="str">
            <v>LT</v>
          </cell>
        </row>
        <row r="17">
          <cell r="A17" t="str">
            <v>LU</v>
          </cell>
        </row>
        <row r="18">
          <cell r="A18" t="str">
            <v>HU</v>
          </cell>
        </row>
        <row r="19">
          <cell r="A19" t="str">
            <v>MT</v>
          </cell>
        </row>
        <row r="20">
          <cell r="A20" t="str">
            <v>NL</v>
          </cell>
        </row>
        <row r="21">
          <cell r="A21" t="str">
            <v>AT</v>
          </cell>
        </row>
        <row r="22">
          <cell r="A22" t="str">
            <v>PL</v>
          </cell>
        </row>
        <row r="23">
          <cell r="A23" t="str">
            <v>PT</v>
          </cell>
        </row>
        <row r="24">
          <cell r="A24" t="str">
            <v>RO</v>
          </cell>
        </row>
        <row r="25">
          <cell r="A25" t="str">
            <v>SI</v>
          </cell>
        </row>
        <row r="26">
          <cell r="A26" t="str">
            <v>SK</v>
          </cell>
        </row>
        <row r="27">
          <cell r="A27" t="str">
            <v>FI</v>
          </cell>
        </row>
        <row r="28">
          <cell r="A28" t="str">
            <v>SE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gifts"/>
      <sheetName val="Comp"/>
      <sheetName val="Negobox"/>
      <sheetName val="All regions"/>
      <sheetName val="List NUTS1"/>
      <sheetName val="From NUTS2 to MS "/>
      <sheetName val="N2 allocation"/>
      <sheetName val="graphs"/>
      <sheetName val="results_ms"/>
      <sheetName val="data NUTS2"/>
      <sheetName val="data MS"/>
      <sheetName val="reconstruction2011"/>
      <sheetName val="pop_decline"/>
      <sheetName val="pop_decline 3Y avg"/>
      <sheetName val="pop"/>
      <sheetName val="COOP"/>
      <sheetName val="CF"/>
      <sheetName val="A_regions_cat"/>
      <sheetName val="B_Co"/>
      <sheetName val="B_Cu"/>
      <sheetName val="CEF_EUI"/>
      <sheetName val="TRANSCOOP"/>
      <sheetName val="TA_Co"/>
      <sheetName val="TA_Cu"/>
      <sheetName val="C_Co_afterTA"/>
      <sheetName val="C_Cu_afterTA"/>
      <sheetName val="D_Co_after_transfers"/>
      <sheetName val="D_Cu_after_transfers"/>
      <sheetName val="overview table"/>
      <sheetName val="Tables constant prices"/>
      <sheetName val="Tables current prices"/>
      <sheetName val="Tables current prices old"/>
    </sheetNames>
    <sheetDataSet>
      <sheetData sheetId="0">
        <row r="14">
          <cell r="D14">
            <v>7.0000000000000007E-2</v>
          </cell>
        </row>
        <row r="16">
          <cell r="D16">
            <v>0.15</v>
          </cell>
        </row>
        <row r="17">
          <cell r="D17">
            <v>0.24</v>
          </cell>
        </row>
        <row r="26">
          <cell r="D26">
            <v>75</v>
          </cell>
          <cell r="N26">
            <v>1</v>
          </cell>
        </row>
        <row r="28">
          <cell r="D28">
            <v>82</v>
          </cell>
          <cell r="N28">
            <v>99</v>
          </cell>
        </row>
        <row r="29">
          <cell r="D29">
            <v>99</v>
          </cell>
          <cell r="N29">
            <v>99</v>
          </cell>
        </row>
        <row r="30">
          <cell r="D30">
            <v>2.8500000000000001E-2</v>
          </cell>
        </row>
        <row r="31">
          <cell r="D31">
            <v>1.2500000000000001E-2</v>
          </cell>
          <cell r="N31">
            <v>7.4999999999999997E-3</v>
          </cell>
        </row>
        <row r="32">
          <cell r="D32">
            <v>7.4999999999999997E-3</v>
          </cell>
        </row>
        <row r="33">
          <cell r="D33">
            <v>570</v>
          </cell>
        </row>
        <row r="37">
          <cell r="D37">
            <v>100</v>
          </cell>
        </row>
        <row r="40">
          <cell r="D40">
            <v>560</v>
          </cell>
        </row>
        <row r="44">
          <cell r="N44">
            <v>22063.672566000001</v>
          </cell>
        </row>
        <row r="45">
          <cell r="D45">
            <v>15.2</v>
          </cell>
          <cell r="N45">
            <v>34023.987471</v>
          </cell>
        </row>
        <row r="55">
          <cell r="D55">
            <v>62.9</v>
          </cell>
        </row>
        <row r="59">
          <cell r="D59">
            <v>40</v>
          </cell>
        </row>
        <row r="60">
          <cell r="D60">
            <v>40</v>
          </cell>
        </row>
        <row r="62">
          <cell r="D62">
            <v>7330</v>
          </cell>
        </row>
        <row r="63">
          <cell r="D63">
            <v>1000</v>
          </cell>
        </row>
        <row r="74">
          <cell r="D74">
            <v>120</v>
          </cell>
        </row>
        <row r="78">
          <cell r="H78" t="str">
            <v>yes</v>
          </cell>
        </row>
        <row r="95">
          <cell r="D95">
            <v>26</v>
          </cell>
        </row>
        <row r="98">
          <cell r="G98">
            <v>1.02</v>
          </cell>
        </row>
        <row r="99">
          <cell r="I99">
            <v>1.1486856676492798</v>
          </cell>
        </row>
        <row r="100">
          <cell r="D100">
            <v>2018</v>
          </cell>
          <cell r="G100">
            <v>1.0612079999999999</v>
          </cell>
        </row>
        <row r="101">
          <cell r="D101">
            <v>1.1486856676492798</v>
          </cell>
        </row>
        <row r="102">
          <cell r="D102">
            <v>1.0404</v>
          </cell>
        </row>
      </sheetData>
      <sheetData sheetId="1"/>
      <sheetData sheetId="2">
        <row r="2">
          <cell r="AG2">
            <v>1.1270458571054056</v>
          </cell>
        </row>
      </sheetData>
      <sheetData sheetId="3"/>
      <sheetData sheetId="4">
        <row r="2">
          <cell r="DR2">
            <v>26.740210609631671</v>
          </cell>
        </row>
        <row r="8">
          <cell r="DK8">
            <v>10.8</v>
          </cell>
          <cell r="EZ8">
            <v>9.5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 inputs"/>
      <sheetName val="MFF"/>
      <sheetName val="Results"/>
      <sheetName val="CA-PA by MS"/>
      <sheetName val="CAPA H1a"/>
      <sheetName val="CAPA H1b"/>
      <sheetName val="CAPA H2"/>
      <sheetName val="CAPA H3"/>
      <sheetName val="CAPA H4"/>
      <sheetName val="CAPA H5"/>
      <sheetName val="Rev"/>
      <sheetName val="RAL"/>
      <sheetName val="De-commitments"/>
      <sheetName val="Per_MS"/>
      <sheetName val="INPUT"/>
      <sheetName val="Brkdn OTHERS"/>
      <sheetName val="Model 2020-06_DAB8"/>
    </sheetNames>
    <sheetDataSet>
      <sheetData sheetId="0">
        <row r="6">
          <cell r="C6">
            <v>348398.7</v>
          </cell>
        </row>
      </sheetData>
      <sheetData sheetId="1">
        <row r="6">
          <cell r="C6">
            <v>17666</v>
          </cell>
        </row>
      </sheetData>
      <sheetData sheetId="2">
        <row r="6">
          <cell r="C6">
            <v>36286.172452999999</v>
          </cell>
        </row>
      </sheetData>
      <sheetData sheetId="3">
        <row r="6">
          <cell r="E6" t="str">
            <v>2007-13</v>
          </cell>
        </row>
      </sheetData>
      <sheetData sheetId="4">
        <row r="6">
          <cell r="C6" t="str">
            <v>ceiling</v>
          </cell>
        </row>
      </sheetData>
      <sheetData sheetId="5">
        <row r="6">
          <cell r="C6" t="str">
            <v>margin</v>
          </cell>
        </row>
      </sheetData>
      <sheetData sheetId="6">
        <row r="6">
          <cell r="C6" t="str">
            <v>Of which contingency margin offset</v>
          </cell>
        </row>
      </sheetData>
      <sheetData sheetId="7">
        <row r="6">
          <cell r="C6" t="str">
            <v>Flex</v>
          </cell>
        </row>
      </sheetData>
      <sheetData sheetId="8">
        <row r="6">
          <cell r="C6" t="str">
            <v>Contingency margin and GMC</v>
          </cell>
        </row>
      </sheetData>
      <sheetData sheetId="9">
        <row r="6">
          <cell r="C6">
            <v>1559.3774350000001</v>
          </cell>
        </row>
      </sheetData>
      <sheetData sheetId="10">
        <row r="6">
          <cell r="C6" t="str">
            <v>balances + adj. + cor.</v>
          </cell>
        </row>
      </sheetData>
      <sheetData sheetId="11">
        <row r="6">
          <cell r="C6">
            <v>1882.3713863899993</v>
          </cell>
        </row>
      </sheetData>
      <sheetData sheetId="12">
        <row r="4">
          <cell r="AO4">
            <v>0</v>
          </cell>
        </row>
      </sheetData>
      <sheetData sheetId="13">
        <row r="6">
          <cell r="C6">
            <v>6294006.9000000004</v>
          </cell>
        </row>
      </sheetData>
      <sheetData sheetId="14">
        <row r="1">
          <cell r="AU1">
            <v>53</v>
          </cell>
        </row>
        <row r="6">
          <cell r="C6" t="str">
            <v>1.1.10</v>
          </cell>
          <cell r="D6" t="str">
            <v>European Fund for Strategic Investments (EFSI)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1360500000</v>
          </cell>
          <cell r="K6">
            <v>2128908000</v>
          </cell>
          <cell r="L6">
            <v>2661084367</v>
          </cell>
          <cell r="M6">
            <v>2038277000</v>
          </cell>
          <cell r="N6">
            <v>186879000</v>
          </cell>
          <cell r="O6">
            <v>5172852000</v>
          </cell>
          <cell r="P6">
            <v>0</v>
          </cell>
          <cell r="Q6">
            <v>0</v>
          </cell>
          <cell r="R6">
            <v>1360499948</v>
          </cell>
          <cell r="S6">
            <v>2128907668</v>
          </cell>
          <cell r="T6">
            <v>2661084286</v>
          </cell>
          <cell r="U6">
            <v>2038275369</v>
          </cell>
          <cell r="V6">
            <v>186870575.80000001</v>
          </cell>
          <cell r="W6">
            <v>0</v>
          </cell>
          <cell r="X6">
            <v>0</v>
          </cell>
          <cell r="Y6">
            <v>0</v>
          </cell>
          <cell r="Z6">
            <v>3643200</v>
          </cell>
          <cell r="AA6">
            <v>1025304590</v>
          </cell>
          <cell r="AB6">
            <v>2467244366</v>
          </cell>
          <cell r="AC6">
            <v>1978999911</v>
          </cell>
          <cell r="AD6">
            <v>1022930418</v>
          </cell>
          <cell r="AE6">
            <v>3605216000</v>
          </cell>
          <cell r="AF6">
            <v>1038636000</v>
          </cell>
          <cell r="AG6">
            <v>902501026</v>
          </cell>
          <cell r="AH6">
            <v>503860000</v>
          </cell>
          <cell r="AI6">
            <v>500000000</v>
          </cell>
          <cell r="AJ6">
            <v>500000000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-45</v>
          </cell>
          <cell r="AQ6">
            <v>-10368.959999999999</v>
          </cell>
          <cell r="AR6">
            <v>-143921.89000000001</v>
          </cell>
          <cell r="AS6">
            <v>-5025.5200000000004</v>
          </cell>
          <cell r="AT6">
            <v>-27300000</v>
          </cell>
          <cell r="AU6">
            <v>0</v>
          </cell>
          <cell r="AV6">
            <v>0</v>
          </cell>
          <cell r="AW6">
            <v>-6992</v>
          </cell>
          <cell r="AX6">
            <v>7361</v>
          </cell>
          <cell r="AY6">
            <v>-368</v>
          </cell>
          <cell r="AZ6">
            <v>27300000</v>
          </cell>
          <cell r="BA6">
            <v>-27300000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</row>
        <row r="7">
          <cell r="C7" t="str">
            <v>1.1.11</v>
          </cell>
          <cell r="D7" t="str">
            <v>European satellite navigation systems (EGNOS and Galileo)</v>
          </cell>
          <cell r="E7">
            <v>376474</v>
          </cell>
          <cell r="F7">
            <v>376474</v>
          </cell>
          <cell r="G7">
            <v>0</v>
          </cell>
          <cell r="H7">
            <v>0</v>
          </cell>
          <cell r="I7">
            <v>1326180000</v>
          </cell>
          <cell r="J7">
            <v>1060599000</v>
          </cell>
          <cell r="K7">
            <v>851569000</v>
          </cell>
          <cell r="L7">
            <v>897465000</v>
          </cell>
          <cell r="M7">
            <v>807859000</v>
          </cell>
          <cell r="N7">
            <v>690718000</v>
          </cell>
          <cell r="O7">
            <v>1207028300</v>
          </cell>
          <cell r="P7">
            <v>0</v>
          </cell>
          <cell r="Q7">
            <v>1326179912</v>
          </cell>
          <cell r="R7">
            <v>1060597077</v>
          </cell>
          <cell r="S7">
            <v>851659529.10000002</v>
          </cell>
          <cell r="T7">
            <v>897465000</v>
          </cell>
          <cell r="U7">
            <v>807857505</v>
          </cell>
          <cell r="V7">
            <v>690717998.70000005</v>
          </cell>
          <cell r="W7">
            <v>0</v>
          </cell>
          <cell r="X7">
            <v>0</v>
          </cell>
          <cell r="Y7">
            <v>980031999</v>
          </cell>
          <cell r="Z7">
            <v>670157995</v>
          </cell>
          <cell r="AA7">
            <v>518936510</v>
          </cell>
          <cell r="AB7">
            <v>804005822</v>
          </cell>
          <cell r="AC7">
            <v>903795300</v>
          </cell>
          <cell r="AD7">
            <v>992998876</v>
          </cell>
          <cell r="AE7">
            <v>953500000</v>
          </cell>
          <cell r="AF7">
            <v>519864734</v>
          </cell>
          <cell r="AG7">
            <v>469877740</v>
          </cell>
          <cell r="AH7">
            <v>196477598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-41099</v>
          </cell>
          <cell r="AN7">
            <v>-46464</v>
          </cell>
          <cell r="AO7">
            <v>-227199</v>
          </cell>
          <cell r="AP7">
            <v>-410247</v>
          </cell>
          <cell r="AQ7">
            <v>-1254232.19</v>
          </cell>
          <cell r="AR7">
            <v>-88278.23</v>
          </cell>
          <cell r="AS7">
            <v>-836187.35</v>
          </cell>
          <cell r="AT7">
            <v>0</v>
          </cell>
          <cell r="AU7">
            <v>14162682</v>
          </cell>
          <cell r="AV7">
            <v>5901646</v>
          </cell>
          <cell r="AW7">
            <v>9567251</v>
          </cell>
          <cell r="AX7">
            <v>5637650</v>
          </cell>
          <cell r="AY7">
            <v>2109464</v>
          </cell>
          <cell r="AZ7">
            <v>-5175515</v>
          </cell>
          <cell r="BA7">
            <v>-20675200</v>
          </cell>
          <cell r="BB7">
            <v>0</v>
          </cell>
          <cell r="BC7">
            <v>-335376</v>
          </cell>
          <cell r="BD7">
            <v>-2796993</v>
          </cell>
          <cell r="BE7">
            <v>-1202690</v>
          </cell>
          <cell r="BF7">
            <v>-2722516</v>
          </cell>
          <cell r="BG7">
            <v>0</v>
          </cell>
          <cell r="BH7">
            <v>-2137007</v>
          </cell>
          <cell r="BI7">
            <v>-2271058.85</v>
          </cell>
          <cell r="BJ7">
            <v>-2309333.42</v>
          </cell>
          <cell r="BK7">
            <v>0</v>
          </cell>
        </row>
        <row r="8">
          <cell r="C8" t="str">
            <v>1.1.12</v>
          </cell>
          <cell r="D8" t="str">
            <v>International Thermonuclear Experimental Reactor (ITER)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729777116</v>
          </cell>
          <cell r="J8">
            <v>391924000</v>
          </cell>
          <cell r="K8">
            <v>329870000</v>
          </cell>
          <cell r="L8">
            <v>322463000</v>
          </cell>
          <cell r="M8">
            <v>376360999</v>
          </cell>
          <cell r="N8">
            <v>409116000</v>
          </cell>
          <cell r="O8">
            <v>364775000</v>
          </cell>
          <cell r="P8">
            <v>0</v>
          </cell>
          <cell r="Q8">
            <v>729776816</v>
          </cell>
          <cell r="R8">
            <v>390741384.10000002</v>
          </cell>
          <cell r="S8">
            <v>329394062.30000001</v>
          </cell>
          <cell r="T8">
            <v>322373655</v>
          </cell>
          <cell r="U8">
            <v>376360999</v>
          </cell>
          <cell r="V8">
            <v>409092500</v>
          </cell>
          <cell r="W8">
            <v>0</v>
          </cell>
          <cell r="X8">
            <v>0</v>
          </cell>
          <cell r="Y8">
            <v>62451410</v>
          </cell>
          <cell r="Z8">
            <v>154227658</v>
          </cell>
          <cell r="AA8">
            <v>234972714</v>
          </cell>
          <cell r="AB8">
            <v>388120763</v>
          </cell>
          <cell r="AC8">
            <v>398194508</v>
          </cell>
          <cell r="AD8">
            <v>360913644</v>
          </cell>
          <cell r="AE8">
            <v>445465644</v>
          </cell>
          <cell r="AF8">
            <v>297028677</v>
          </cell>
          <cell r="AG8">
            <v>297666119</v>
          </cell>
          <cell r="AH8">
            <v>280816651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-326444</v>
          </cell>
          <cell r="AN8">
            <v>-1385133</v>
          </cell>
          <cell r="AO8">
            <v>-65874</v>
          </cell>
          <cell r="AP8">
            <v>-338993</v>
          </cell>
          <cell r="AQ8">
            <v>-476275.47</v>
          </cell>
          <cell r="AR8">
            <v>-510175.64</v>
          </cell>
          <cell r="AS8">
            <v>-329220.39</v>
          </cell>
          <cell r="AT8">
            <v>0</v>
          </cell>
          <cell r="AU8">
            <v>435889</v>
          </cell>
          <cell r="AV8">
            <v>116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1064483.52</v>
          </cell>
          <cell r="BB8">
            <v>0</v>
          </cell>
          <cell r="BC8">
            <v>0</v>
          </cell>
          <cell r="BD8">
            <v>-1491845</v>
          </cell>
          <cell r="BE8">
            <v>-487970</v>
          </cell>
          <cell r="BF8">
            <v>-60452</v>
          </cell>
          <cell r="BG8">
            <v>0</v>
          </cell>
          <cell r="BH8">
            <v>-621190</v>
          </cell>
          <cell r="BI8">
            <v>-19677.099999999999</v>
          </cell>
          <cell r="BJ8">
            <v>-406282.44</v>
          </cell>
          <cell r="BK8">
            <v>0</v>
          </cell>
        </row>
        <row r="9">
          <cell r="C9" t="str">
            <v>1.1.13</v>
          </cell>
          <cell r="D9" t="str">
            <v>European Earth Observation Programme (Copernicus)</v>
          </cell>
          <cell r="E9">
            <v>597550</v>
          </cell>
          <cell r="F9">
            <v>597550</v>
          </cell>
          <cell r="G9">
            <v>0</v>
          </cell>
          <cell r="H9">
            <v>0</v>
          </cell>
          <cell r="I9">
            <v>362933000</v>
          </cell>
          <cell r="J9">
            <v>556370000</v>
          </cell>
          <cell r="K9">
            <v>586167000</v>
          </cell>
          <cell r="L9">
            <v>607432000</v>
          </cell>
          <cell r="M9">
            <v>630191000</v>
          </cell>
          <cell r="N9">
            <v>861470000</v>
          </cell>
          <cell r="O9">
            <v>646947000</v>
          </cell>
          <cell r="P9">
            <v>0</v>
          </cell>
          <cell r="Q9">
            <v>362930712</v>
          </cell>
          <cell r="R9">
            <v>556257083.79999995</v>
          </cell>
          <cell r="S9">
            <v>586160319.29999995</v>
          </cell>
          <cell r="T9">
            <v>607432000</v>
          </cell>
          <cell r="U9">
            <v>630191000</v>
          </cell>
          <cell r="V9">
            <v>861470000</v>
          </cell>
          <cell r="W9">
            <v>0</v>
          </cell>
          <cell r="X9">
            <v>0</v>
          </cell>
          <cell r="Y9">
            <v>227391659</v>
          </cell>
          <cell r="Z9">
            <v>504498567</v>
          </cell>
          <cell r="AA9">
            <v>574585788</v>
          </cell>
          <cell r="AB9">
            <v>636713499</v>
          </cell>
          <cell r="AC9">
            <v>560600617</v>
          </cell>
          <cell r="AD9">
            <v>603078000</v>
          </cell>
          <cell r="AE9">
            <v>552000000</v>
          </cell>
          <cell r="AF9">
            <v>325000000</v>
          </cell>
          <cell r="AG9">
            <v>200000000</v>
          </cell>
          <cell r="AH9">
            <v>62859828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-139558</v>
          </cell>
          <cell r="AN9">
            <v>-452217</v>
          </cell>
          <cell r="AO9">
            <v>-1701707</v>
          </cell>
          <cell r="AP9">
            <v>-369822</v>
          </cell>
          <cell r="AQ9">
            <v>-423624.34</v>
          </cell>
          <cell r="AR9">
            <v>-1074499.3600000001</v>
          </cell>
          <cell r="AS9">
            <v>-2198499.9700000002</v>
          </cell>
          <cell r="AT9">
            <v>0</v>
          </cell>
          <cell r="AU9">
            <v>-384667</v>
          </cell>
          <cell r="AV9">
            <v>6990451</v>
          </cell>
          <cell r="AW9">
            <v>97379</v>
          </cell>
          <cell r="AX9">
            <v>-1835598</v>
          </cell>
          <cell r="AY9">
            <v>206579</v>
          </cell>
          <cell r="AZ9">
            <v>6166768</v>
          </cell>
          <cell r="BA9">
            <v>-1687777</v>
          </cell>
          <cell r="BB9">
            <v>0</v>
          </cell>
          <cell r="BC9">
            <v>-457991</v>
          </cell>
          <cell r="BD9">
            <v>-1319882</v>
          </cell>
          <cell r="BE9">
            <v>-1691307</v>
          </cell>
          <cell r="BF9">
            <v>-1724422</v>
          </cell>
          <cell r="BG9">
            <v>0</v>
          </cell>
          <cell r="BH9">
            <v>-1715440</v>
          </cell>
          <cell r="BI9">
            <v>-1719598.58</v>
          </cell>
          <cell r="BJ9">
            <v>-2111072.65</v>
          </cell>
          <cell r="BK9">
            <v>0</v>
          </cell>
        </row>
        <row r="10">
          <cell r="C10" t="str">
            <v>1.1.14</v>
          </cell>
          <cell r="D10" t="str">
            <v>European Solidarity Corps (ESC)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42785652</v>
          </cell>
          <cell r="N10">
            <v>143324568</v>
          </cell>
          <cell r="O10">
            <v>166087779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42785652</v>
          </cell>
          <cell r="V10">
            <v>143324568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29678107</v>
          </cell>
          <cell r="AD10">
            <v>108212752</v>
          </cell>
          <cell r="AE10">
            <v>153900000</v>
          </cell>
          <cell r="AF10">
            <v>24325725</v>
          </cell>
          <cell r="AG10">
            <v>16444324</v>
          </cell>
          <cell r="AH10">
            <v>8818501</v>
          </cell>
          <cell r="AI10">
            <v>1688738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-55223.4</v>
          </cell>
          <cell r="AS10">
            <v>-694850.01</v>
          </cell>
          <cell r="AT10">
            <v>-20257872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38342</v>
          </cell>
          <cell r="BA10">
            <v>70210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-3423714.81</v>
          </cell>
          <cell r="BJ10">
            <v>-3103196.82</v>
          </cell>
          <cell r="BK10">
            <v>0</v>
          </cell>
        </row>
        <row r="11">
          <cell r="C11" t="str">
            <v>1.1.15</v>
          </cell>
          <cell r="D11" t="str">
            <v>European Defense Industrial Development Programme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245000000</v>
          </cell>
          <cell r="O11">
            <v>255000000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245000000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1797199</v>
          </cell>
          <cell r="AE11">
            <v>200500000</v>
          </cell>
          <cell r="AF11">
            <v>106500000</v>
          </cell>
          <cell r="AG11">
            <v>60000000</v>
          </cell>
          <cell r="AH11">
            <v>53000000</v>
          </cell>
          <cell r="AI11">
            <v>57000000</v>
          </cell>
          <cell r="AJ11">
            <v>24542801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-1270939.7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-1667455.7</v>
          </cell>
          <cell r="BK11">
            <v>0</v>
          </cell>
        </row>
        <row r="12">
          <cell r="C12" t="str">
            <v>1.1.2</v>
          </cell>
          <cell r="D12" t="str">
            <v>Nuclear Safety and Decommissioning</v>
          </cell>
          <cell r="E12">
            <v>139969</v>
          </cell>
          <cell r="F12">
            <v>139969</v>
          </cell>
          <cell r="G12">
            <v>0</v>
          </cell>
          <cell r="H12">
            <v>0</v>
          </cell>
          <cell r="I12">
            <v>130377000</v>
          </cell>
          <cell r="J12">
            <v>132984000</v>
          </cell>
          <cell r="K12">
            <v>135644000</v>
          </cell>
          <cell r="L12">
            <v>138357000</v>
          </cell>
          <cell r="M12">
            <v>141124000</v>
          </cell>
          <cell r="N12">
            <v>143947000</v>
          </cell>
          <cell r="O12">
            <v>146827000</v>
          </cell>
          <cell r="P12">
            <v>0</v>
          </cell>
          <cell r="Q12">
            <v>130377000</v>
          </cell>
          <cell r="R12">
            <v>132984000</v>
          </cell>
          <cell r="S12">
            <v>135644000</v>
          </cell>
          <cell r="T12">
            <v>138344357</v>
          </cell>
          <cell r="U12">
            <v>141124000</v>
          </cell>
          <cell r="V12">
            <v>143936950</v>
          </cell>
          <cell r="W12">
            <v>0</v>
          </cell>
          <cell r="X12">
            <v>0</v>
          </cell>
          <cell r="Y12">
            <v>0</v>
          </cell>
          <cell r="Z12">
            <v>2184760</v>
          </cell>
          <cell r="AA12">
            <v>417501</v>
          </cell>
          <cell r="AB12">
            <v>93173181</v>
          </cell>
          <cell r="AC12">
            <v>83298911</v>
          </cell>
          <cell r="AD12">
            <v>95084853</v>
          </cell>
          <cell r="AE12">
            <v>165850000</v>
          </cell>
          <cell r="AF12">
            <v>89070740</v>
          </cell>
          <cell r="AG12">
            <v>111570740</v>
          </cell>
          <cell r="AH12">
            <v>111570740</v>
          </cell>
          <cell r="AI12">
            <v>111570740</v>
          </cell>
          <cell r="AJ12">
            <v>105428678</v>
          </cell>
          <cell r="AK12">
            <v>0</v>
          </cell>
          <cell r="AL12">
            <v>0</v>
          </cell>
          <cell r="AM12">
            <v>-124185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-16465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-15784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</row>
        <row r="13">
          <cell r="C13" t="str">
            <v>1.1.31</v>
          </cell>
          <cell r="D13" t="str">
            <v>Horizon 2020</v>
          </cell>
          <cell r="E13">
            <v>1033979789</v>
          </cell>
          <cell r="F13">
            <v>111017834</v>
          </cell>
          <cell r="G13">
            <v>5757</v>
          </cell>
          <cell r="H13">
            <v>0</v>
          </cell>
          <cell r="I13">
            <v>9023135536</v>
          </cell>
          <cell r="J13">
            <v>9539427334</v>
          </cell>
          <cell r="K13">
            <v>9542480485</v>
          </cell>
          <cell r="L13">
            <v>10423885774</v>
          </cell>
          <cell r="M13">
            <v>11217185798</v>
          </cell>
          <cell r="N13">
            <v>12391500839</v>
          </cell>
          <cell r="O13">
            <v>13485948806</v>
          </cell>
          <cell r="P13">
            <v>0</v>
          </cell>
          <cell r="Q13">
            <v>9022140820</v>
          </cell>
          <cell r="R13">
            <v>9538935998</v>
          </cell>
          <cell r="S13">
            <v>9541558402</v>
          </cell>
          <cell r="T13">
            <v>10422423912</v>
          </cell>
          <cell r="U13">
            <v>11214431736</v>
          </cell>
          <cell r="V13">
            <v>12391080044</v>
          </cell>
          <cell r="W13">
            <v>0</v>
          </cell>
          <cell r="X13">
            <v>0</v>
          </cell>
          <cell r="Y13">
            <v>1391472233</v>
          </cell>
          <cell r="Z13">
            <v>5172603834</v>
          </cell>
          <cell r="AA13">
            <v>7319119630</v>
          </cell>
          <cell r="AB13">
            <v>8564352916</v>
          </cell>
          <cell r="AC13">
            <v>9815316139</v>
          </cell>
          <cell r="AD13">
            <v>10500242330</v>
          </cell>
          <cell r="AE13">
            <v>11644658610</v>
          </cell>
          <cell r="AF13">
            <v>7973025075</v>
          </cell>
          <cell r="AG13">
            <v>4294633709</v>
          </cell>
          <cell r="AH13">
            <v>3053335240</v>
          </cell>
          <cell r="AI13">
            <v>2240441883</v>
          </cell>
          <cell r="AJ13">
            <v>1000481469</v>
          </cell>
          <cell r="AK13">
            <v>1719796961</v>
          </cell>
          <cell r="AL13">
            <v>0</v>
          </cell>
          <cell r="AM13">
            <v>-20609579</v>
          </cell>
          <cell r="AN13">
            <v>-20034714</v>
          </cell>
          <cell r="AO13">
            <v>-21671683</v>
          </cell>
          <cell r="AP13">
            <v>-51565955</v>
          </cell>
          <cell r="AQ13">
            <v>-89438005.489999995</v>
          </cell>
          <cell r="AR13">
            <v>-124416126.40000001</v>
          </cell>
          <cell r="AS13">
            <v>-76772413.579999998</v>
          </cell>
          <cell r="AT13">
            <v>-749247820</v>
          </cell>
          <cell r="AU13">
            <v>310618381</v>
          </cell>
          <cell r="AV13">
            <v>187417952</v>
          </cell>
          <cell r="AW13">
            <v>157284760</v>
          </cell>
          <cell r="AX13">
            <v>99148883</v>
          </cell>
          <cell r="AY13">
            <v>57196428</v>
          </cell>
          <cell r="AZ13">
            <v>184229351</v>
          </cell>
          <cell r="BA13">
            <v>249404763.40000001</v>
          </cell>
          <cell r="BB13">
            <v>0</v>
          </cell>
          <cell r="BC13">
            <v>-93853470</v>
          </cell>
          <cell r="BD13">
            <v>-61987825</v>
          </cell>
          <cell r="BE13">
            <v>-57976160</v>
          </cell>
          <cell r="BF13">
            <v>-63111042</v>
          </cell>
          <cell r="BG13">
            <v>0</v>
          </cell>
          <cell r="BH13">
            <v>-60636936</v>
          </cell>
          <cell r="BI13">
            <v>-65009312.969999999</v>
          </cell>
          <cell r="BJ13">
            <v>-78766201.159999996</v>
          </cell>
          <cell r="BK13">
            <v>0</v>
          </cell>
        </row>
        <row r="14">
          <cell r="C14" t="str">
            <v>1.1.32</v>
          </cell>
          <cell r="D14" t="str">
            <v>Euratom Research and Training Programme</v>
          </cell>
          <cell r="E14">
            <v>33243812</v>
          </cell>
          <cell r="F14">
            <v>0</v>
          </cell>
          <cell r="G14">
            <v>0</v>
          </cell>
          <cell r="H14">
            <v>0</v>
          </cell>
          <cell r="I14">
            <v>284802753</v>
          </cell>
          <cell r="J14">
            <v>302089000</v>
          </cell>
          <cell r="K14">
            <v>317108010</v>
          </cell>
          <cell r="L14">
            <v>340795475</v>
          </cell>
          <cell r="M14">
            <v>352870089</v>
          </cell>
          <cell r="N14">
            <v>373574526</v>
          </cell>
          <cell r="O14">
            <v>397664901</v>
          </cell>
          <cell r="P14">
            <v>0</v>
          </cell>
          <cell r="Q14">
            <v>284774295.60000002</v>
          </cell>
          <cell r="R14">
            <v>302088783.30000001</v>
          </cell>
          <cell r="S14">
            <v>317104172.89999998</v>
          </cell>
          <cell r="T14">
            <v>340784969</v>
          </cell>
          <cell r="U14">
            <v>352870080</v>
          </cell>
          <cell r="V14">
            <v>373574131</v>
          </cell>
          <cell r="W14">
            <v>0</v>
          </cell>
          <cell r="X14">
            <v>0</v>
          </cell>
          <cell r="Y14">
            <v>214508296</v>
          </cell>
          <cell r="Z14">
            <v>292878806</v>
          </cell>
          <cell r="AA14">
            <v>259132792</v>
          </cell>
          <cell r="AB14">
            <v>338751959</v>
          </cell>
          <cell r="AC14">
            <v>287820392</v>
          </cell>
          <cell r="AD14">
            <v>366102482</v>
          </cell>
          <cell r="AE14">
            <v>416691200</v>
          </cell>
          <cell r="AF14">
            <v>43906605</v>
          </cell>
          <cell r="AG14">
            <v>42098521</v>
          </cell>
          <cell r="AH14">
            <v>60162875</v>
          </cell>
          <cell r="AI14">
            <v>30677983</v>
          </cell>
          <cell r="AJ14">
            <v>21733437</v>
          </cell>
          <cell r="AK14">
            <v>23450549</v>
          </cell>
          <cell r="AL14">
            <v>0</v>
          </cell>
          <cell r="AM14">
            <v>-17447</v>
          </cell>
          <cell r="AN14">
            <v>-2205014</v>
          </cell>
          <cell r="AO14">
            <v>-2442170</v>
          </cell>
          <cell r="AP14">
            <v>-2541899</v>
          </cell>
          <cell r="AQ14">
            <v>-2430617.34</v>
          </cell>
          <cell r="AR14">
            <v>-2506085.7200000002</v>
          </cell>
          <cell r="AS14">
            <v>-12151178.970000001</v>
          </cell>
          <cell r="AT14">
            <v>-529723</v>
          </cell>
          <cell r="AU14">
            <v>1321099</v>
          </cell>
          <cell r="AV14">
            <v>300917</v>
          </cell>
          <cell r="AW14">
            <v>466425</v>
          </cell>
          <cell r="AX14">
            <v>983065</v>
          </cell>
          <cell r="AY14">
            <v>1164642</v>
          </cell>
          <cell r="AZ14">
            <v>94414</v>
          </cell>
          <cell r="BA14">
            <v>199269.94</v>
          </cell>
          <cell r="BB14">
            <v>0</v>
          </cell>
          <cell r="BC14">
            <v>0</v>
          </cell>
          <cell r="BD14">
            <v>-17814357</v>
          </cell>
          <cell r="BE14">
            <v>-13894310</v>
          </cell>
          <cell r="BF14">
            <v>-17542373</v>
          </cell>
          <cell r="BG14">
            <v>0</v>
          </cell>
          <cell r="BH14">
            <v>-18187425</v>
          </cell>
          <cell r="BI14">
            <v>-16765016.83</v>
          </cell>
          <cell r="BJ14">
            <v>-33038709.530000001</v>
          </cell>
          <cell r="BK14">
            <v>0</v>
          </cell>
        </row>
        <row r="15">
          <cell r="C15" t="str">
            <v>1.1.4</v>
          </cell>
          <cell r="D15" t="str">
            <v>Competitiveness of enterprises and small and medium-sized enterprises (COSME)</v>
          </cell>
          <cell r="E15">
            <v>3450454</v>
          </cell>
          <cell r="F15">
            <v>2741034</v>
          </cell>
          <cell r="G15">
            <v>0</v>
          </cell>
          <cell r="H15">
            <v>0</v>
          </cell>
          <cell r="I15">
            <v>254067275</v>
          </cell>
          <cell r="J15">
            <v>304056725</v>
          </cell>
          <cell r="K15">
            <v>311929429</v>
          </cell>
          <cell r="L15">
            <v>349377886</v>
          </cell>
          <cell r="M15">
            <v>354240898.89999998</v>
          </cell>
          <cell r="N15">
            <v>367177209</v>
          </cell>
          <cell r="O15">
            <v>418101972</v>
          </cell>
          <cell r="P15">
            <v>0</v>
          </cell>
          <cell r="Q15">
            <v>253906271.5</v>
          </cell>
          <cell r="R15">
            <v>303991961.30000001</v>
          </cell>
          <cell r="S15">
            <v>311929374.30000001</v>
          </cell>
          <cell r="T15">
            <v>349362969</v>
          </cell>
          <cell r="U15">
            <v>354240442</v>
          </cell>
          <cell r="V15">
            <v>367177208.89999998</v>
          </cell>
          <cell r="W15">
            <v>0</v>
          </cell>
          <cell r="X15">
            <v>0</v>
          </cell>
          <cell r="Y15">
            <v>91372257</v>
          </cell>
          <cell r="Z15">
            <v>201795616</v>
          </cell>
          <cell r="AA15">
            <v>129703941</v>
          </cell>
          <cell r="AB15">
            <v>225490498</v>
          </cell>
          <cell r="AC15">
            <v>206031940</v>
          </cell>
          <cell r="AD15">
            <v>244224715</v>
          </cell>
          <cell r="AE15">
            <v>371904572</v>
          </cell>
          <cell r="AF15">
            <v>268018822</v>
          </cell>
          <cell r="AG15">
            <v>237821660</v>
          </cell>
          <cell r="AH15">
            <v>78117447</v>
          </cell>
          <cell r="AI15">
            <v>50452773</v>
          </cell>
          <cell r="AJ15">
            <v>32258203</v>
          </cell>
          <cell r="AK15">
            <v>173983348</v>
          </cell>
          <cell r="AL15">
            <v>0</v>
          </cell>
          <cell r="AM15">
            <v>-382483</v>
          </cell>
          <cell r="AN15">
            <v>-990557</v>
          </cell>
          <cell r="AO15">
            <v>-1712081</v>
          </cell>
          <cell r="AP15">
            <v>-1514290</v>
          </cell>
          <cell r="AQ15">
            <v>-1848419.34</v>
          </cell>
          <cell r="AR15">
            <v>-7217150.3200000003</v>
          </cell>
          <cell r="AS15">
            <v>-993406.45</v>
          </cell>
          <cell r="AT15">
            <v>-20381679</v>
          </cell>
          <cell r="AU15">
            <v>-403300</v>
          </cell>
          <cell r="AV15">
            <v>1260477</v>
          </cell>
          <cell r="AW15">
            <v>11035749</v>
          </cell>
          <cell r="AX15">
            <v>3620062</v>
          </cell>
          <cell r="AY15">
            <v>-10406532</v>
          </cell>
          <cell r="AZ15">
            <v>-3862812</v>
          </cell>
          <cell r="BA15">
            <v>-727705.17</v>
          </cell>
          <cell r="BB15">
            <v>0</v>
          </cell>
          <cell r="BC15">
            <v>-2358551</v>
          </cell>
          <cell r="BD15">
            <v>-2411738</v>
          </cell>
          <cell r="BE15">
            <v>-2892282</v>
          </cell>
          <cell r="BF15">
            <v>-2133842</v>
          </cell>
          <cell r="BG15">
            <v>0</v>
          </cell>
          <cell r="BH15">
            <v>-1998820</v>
          </cell>
          <cell r="BI15">
            <v>-2683010.1</v>
          </cell>
          <cell r="BJ15">
            <v>-2274949.13</v>
          </cell>
          <cell r="BK15">
            <v>0</v>
          </cell>
        </row>
        <row r="16">
          <cell r="C16" t="str">
            <v>1.1.5</v>
          </cell>
          <cell r="D16" t="str">
            <v>Education, Training and Sport (Erasmus+)</v>
          </cell>
          <cell r="E16">
            <v>7772893</v>
          </cell>
          <cell r="F16">
            <v>5995580</v>
          </cell>
          <cell r="G16">
            <v>0</v>
          </cell>
          <cell r="H16">
            <v>0</v>
          </cell>
          <cell r="I16">
            <v>1558781000</v>
          </cell>
          <cell r="J16">
            <v>1608146000</v>
          </cell>
          <cell r="K16">
            <v>1734669673</v>
          </cell>
          <cell r="L16">
            <v>2070157000</v>
          </cell>
          <cell r="M16">
            <v>2314549000</v>
          </cell>
          <cell r="N16">
            <v>2786425000</v>
          </cell>
          <cell r="O16">
            <v>2885368000</v>
          </cell>
          <cell r="P16">
            <v>0</v>
          </cell>
          <cell r="Q16">
            <v>1558780439</v>
          </cell>
          <cell r="R16">
            <v>1608143923</v>
          </cell>
          <cell r="S16">
            <v>1734668489</v>
          </cell>
          <cell r="T16">
            <v>2070156265</v>
          </cell>
          <cell r="U16">
            <v>2314549000</v>
          </cell>
          <cell r="V16">
            <v>2786425000</v>
          </cell>
          <cell r="W16">
            <v>0</v>
          </cell>
          <cell r="X16">
            <v>0</v>
          </cell>
          <cell r="Y16">
            <v>1151731792</v>
          </cell>
          <cell r="Z16">
            <v>1495315097</v>
          </cell>
          <cell r="AA16">
            <v>1818127007</v>
          </cell>
          <cell r="AB16">
            <v>1920723217</v>
          </cell>
          <cell r="AC16">
            <v>2248685058</v>
          </cell>
          <cell r="AD16">
            <v>2609442414</v>
          </cell>
          <cell r="AE16">
            <v>2739450700</v>
          </cell>
          <cell r="AF16">
            <v>373297842</v>
          </cell>
          <cell r="AG16">
            <v>252782225</v>
          </cell>
          <cell r="AH16">
            <v>113563857</v>
          </cell>
          <cell r="AI16">
            <v>58064399</v>
          </cell>
          <cell r="AJ16">
            <v>8797404</v>
          </cell>
          <cell r="AK16">
            <v>0</v>
          </cell>
          <cell r="AL16">
            <v>0</v>
          </cell>
          <cell r="AM16">
            <v>-461970</v>
          </cell>
          <cell r="AN16">
            <v>-3255294</v>
          </cell>
          <cell r="AO16">
            <v>-7608327</v>
          </cell>
          <cell r="AP16">
            <v>-8483232</v>
          </cell>
          <cell r="AQ16">
            <v>-49148323.960000001</v>
          </cell>
          <cell r="AR16">
            <v>-29267605.98</v>
          </cell>
          <cell r="AS16">
            <v>-5933502.54</v>
          </cell>
          <cell r="AT16">
            <v>-151641873</v>
          </cell>
          <cell r="AU16">
            <v>89978947</v>
          </cell>
          <cell r="AV16">
            <v>-2958465</v>
          </cell>
          <cell r="AW16">
            <v>-2789292</v>
          </cell>
          <cell r="AX16">
            <v>-35556148</v>
          </cell>
          <cell r="AY16">
            <v>68353046</v>
          </cell>
          <cell r="AZ16">
            <v>-30059220</v>
          </cell>
          <cell r="BA16">
            <v>40494569.18</v>
          </cell>
          <cell r="BB16">
            <v>0</v>
          </cell>
          <cell r="BC16">
            <v>-5533610</v>
          </cell>
          <cell r="BD16">
            <v>-6675405</v>
          </cell>
          <cell r="BE16">
            <v>-6492890</v>
          </cell>
          <cell r="BF16">
            <v>-6384976</v>
          </cell>
          <cell r="BG16">
            <v>0</v>
          </cell>
          <cell r="BH16">
            <v>-6845624</v>
          </cell>
          <cell r="BI16">
            <v>-6762811.8499999996</v>
          </cell>
          <cell r="BJ16">
            <v>-7463642.1600000001</v>
          </cell>
          <cell r="BK16">
            <v>0</v>
          </cell>
        </row>
        <row r="17">
          <cell r="C17" t="str">
            <v>1.1.6</v>
          </cell>
          <cell r="D17" t="str">
            <v>Employment and Social Innovation (EaSI)</v>
          </cell>
          <cell r="E17">
            <v>1797151</v>
          </cell>
          <cell r="F17">
            <v>1797151</v>
          </cell>
          <cell r="G17">
            <v>0</v>
          </cell>
          <cell r="H17">
            <v>0</v>
          </cell>
          <cell r="I17">
            <v>122957000</v>
          </cell>
          <cell r="J17">
            <v>128643000</v>
          </cell>
          <cell r="K17">
            <v>127094800</v>
          </cell>
          <cell r="L17">
            <v>136043800</v>
          </cell>
          <cell r="M17">
            <v>131712483</v>
          </cell>
          <cell r="N17">
            <v>136061055</v>
          </cell>
          <cell r="O17">
            <v>117111491</v>
          </cell>
          <cell r="P17">
            <v>0</v>
          </cell>
          <cell r="Q17">
            <v>117993158.3</v>
          </cell>
          <cell r="R17">
            <v>126918291.7</v>
          </cell>
          <cell r="S17">
            <v>122937918.2</v>
          </cell>
          <cell r="T17">
            <v>135191779</v>
          </cell>
          <cell r="U17">
            <v>129342188</v>
          </cell>
          <cell r="V17">
            <v>134538079.5</v>
          </cell>
          <cell r="W17">
            <v>0</v>
          </cell>
          <cell r="X17">
            <v>0</v>
          </cell>
          <cell r="Y17">
            <v>16410930</v>
          </cell>
          <cell r="Z17">
            <v>52539366</v>
          </cell>
          <cell r="AA17">
            <v>121929115</v>
          </cell>
          <cell r="AB17">
            <v>85438386</v>
          </cell>
          <cell r="AC17">
            <v>114458956</v>
          </cell>
          <cell r="AD17">
            <v>126687962</v>
          </cell>
          <cell r="AE17">
            <v>104900000</v>
          </cell>
          <cell r="AF17">
            <v>86604597</v>
          </cell>
          <cell r="AG17">
            <v>55075006</v>
          </cell>
          <cell r="AH17">
            <v>44562318</v>
          </cell>
          <cell r="AI17">
            <v>24315335</v>
          </cell>
          <cell r="AJ17">
            <v>0</v>
          </cell>
          <cell r="AK17">
            <v>0</v>
          </cell>
          <cell r="AL17">
            <v>0</v>
          </cell>
          <cell r="AM17">
            <v>-356940</v>
          </cell>
          <cell r="AN17">
            <v>-4168834</v>
          </cell>
          <cell r="AO17">
            <v>-9182107</v>
          </cell>
          <cell r="AP17">
            <v>-8180699</v>
          </cell>
          <cell r="AQ17">
            <v>-14056323.48</v>
          </cell>
          <cell r="AR17">
            <v>-10676417.789999999</v>
          </cell>
          <cell r="AS17">
            <v>-3901114.36</v>
          </cell>
          <cell r="AT17">
            <v>-13958343</v>
          </cell>
          <cell r="AU17">
            <v>297872</v>
          </cell>
          <cell r="AV17">
            <v>1523245</v>
          </cell>
          <cell r="AW17">
            <v>1428250</v>
          </cell>
          <cell r="AX17">
            <v>-709488</v>
          </cell>
          <cell r="AY17">
            <v>1148241</v>
          </cell>
          <cell r="AZ17">
            <v>21177500</v>
          </cell>
          <cell r="BA17">
            <v>-2614636.66</v>
          </cell>
          <cell r="BB17">
            <v>0</v>
          </cell>
          <cell r="BC17">
            <v>-1440210</v>
          </cell>
          <cell r="BD17">
            <v>-1330182</v>
          </cell>
          <cell r="BE17">
            <v>-964758</v>
          </cell>
          <cell r="BF17">
            <v>-935699</v>
          </cell>
          <cell r="BG17">
            <v>0</v>
          </cell>
          <cell r="BH17">
            <v>-914614</v>
          </cell>
          <cell r="BI17">
            <v>-224790.9</v>
          </cell>
          <cell r="BJ17">
            <v>-945912.49</v>
          </cell>
          <cell r="BK17">
            <v>0</v>
          </cell>
        </row>
        <row r="18">
          <cell r="C18" t="str">
            <v>1.1.7</v>
          </cell>
          <cell r="D18" t="str">
            <v>Customs, Fiscalis and Anti-Fraud</v>
          </cell>
          <cell r="E18">
            <v>983150</v>
          </cell>
          <cell r="F18">
            <v>983150</v>
          </cell>
          <cell r="G18">
            <v>0</v>
          </cell>
          <cell r="H18">
            <v>0</v>
          </cell>
          <cell r="I18">
            <v>118294900</v>
          </cell>
          <cell r="J18">
            <v>122039600</v>
          </cell>
          <cell r="K18">
            <v>125591800</v>
          </cell>
          <cell r="L18">
            <v>144358700</v>
          </cell>
          <cell r="M18">
            <v>138950568</v>
          </cell>
          <cell r="N18">
            <v>135214500</v>
          </cell>
          <cell r="O18">
            <v>133353600</v>
          </cell>
          <cell r="P18">
            <v>0</v>
          </cell>
          <cell r="Q18">
            <v>118220143.3</v>
          </cell>
          <cell r="R18">
            <v>121856610.90000001</v>
          </cell>
          <cell r="S18">
            <v>125520393.90000001</v>
          </cell>
          <cell r="T18">
            <v>144338468</v>
          </cell>
          <cell r="U18">
            <v>138227712</v>
          </cell>
          <cell r="V18">
            <v>135165320</v>
          </cell>
          <cell r="W18">
            <v>0</v>
          </cell>
          <cell r="X18">
            <v>0</v>
          </cell>
          <cell r="Y18">
            <v>21804266</v>
          </cell>
          <cell r="Z18">
            <v>84539740</v>
          </cell>
          <cell r="AA18">
            <v>119155260</v>
          </cell>
          <cell r="AB18">
            <v>115351095</v>
          </cell>
          <cell r="AC18">
            <v>118089107</v>
          </cell>
          <cell r="AD18">
            <v>132804172</v>
          </cell>
          <cell r="AE18">
            <v>123856853</v>
          </cell>
          <cell r="AF18">
            <v>100394542</v>
          </cell>
          <cell r="AG18">
            <v>55082347</v>
          </cell>
          <cell r="AH18">
            <v>23060273</v>
          </cell>
          <cell r="AI18">
            <v>5407850</v>
          </cell>
          <cell r="AJ18">
            <v>0</v>
          </cell>
          <cell r="AK18">
            <v>0</v>
          </cell>
          <cell r="AL18">
            <v>0</v>
          </cell>
          <cell r="AM18">
            <v>-80157</v>
          </cell>
          <cell r="AN18">
            <v>-627543</v>
          </cell>
          <cell r="AO18">
            <v>-2773302</v>
          </cell>
          <cell r="AP18">
            <v>-6410271</v>
          </cell>
          <cell r="AQ18">
            <v>-4288054.42</v>
          </cell>
          <cell r="AR18">
            <v>-5687821.2000000002</v>
          </cell>
          <cell r="AS18">
            <v>-4315533.5999999996</v>
          </cell>
          <cell r="AT18">
            <v>-217957</v>
          </cell>
          <cell r="AU18">
            <v>-1726412</v>
          </cell>
          <cell r="AV18">
            <v>-410947</v>
          </cell>
          <cell r="AW18">
            <v>1999671</v>
          </cell>
          <cell r="AX18">
            <v>-178147</v>
          </cell>
          <cell r="AY18">
            <v>-309459</v>
          </cell>
          <cell r="AZ18">
            <v>-1725253</v>
          </cell>
          <cell r="BA18">
            <v>1546429.78</v>
          </cell>
          <cell r="BB18">
            <v>0</v>
          </cell>
          <cell r="BC18">
            <v>-902993</v>
          </cell>
          <cell r="BD18">
            <v>-86288</v>
          </cell>
          <cell r="BE18">
            <v>-43773</v>
          </cell>
          <cell r="BF18">
            <v>-2087073</v>
          </cell>
          <cell r="BG18">
            <v>0</v>
          </cell>
          <cell r="BH18">
            <v>-174113</v>
          </cell>
          <cell r="BI18">
            <v>-154694.29</v>
          </cell>
          <cell r="BJ18">
            <v>-56268.32</v>
          </cell>
          <cell r="BK18">
            <v>0</v>
          </cell>
        </row>
        <row r="19">
          <cell r="C19" t="str">
            <v>1.1.81</v>
          </cell>
          <cell r="D19" t="str">
            <v>Energy</v>
          </cell>
          <cell r="E19">
            <v>383529</v>
          </cell>
          <cell r="F19">
            <v>383529</v>
          </cell>
          <cell r="G19">
            <v>0</v>
          </cell>
          <cell r="H19">
            <v>0</v>
          </cell>
          <cell r="I19">
            <v>409627500</v>
          </cell>
          <cell r="J19">
            <v>397159000</v>
          </cell>
          <cell r="K19">
            <v>498683818</v>
          </cell>
          <cell r="L19">
            <v>622437806</v>
          </cell>
          <cell r="M19">
            <v>680459335</v>
          </cell>
          <cell r="N19">
            <v>948678024</v>
          </cell>
          <cell r="O19">
            <v>1281032586</v>
          </cell>
          <cell r="P19">
            <v>0</v>
          </cell>
          <cell r="Q19">
            <v>408963275</v>
          </cell>
          <cell r="R19">
            <v>397012486.69999999</v>
          </cell>
          <cell r="S19">
            <v>498527778.5</v>
          </cell>
          <cell r="T19">
            <v>621191889</v>
          </cell>
          <cell r="U19">
            <v>680309579</v>
          </cell>
          <cell r="V19">
            <v>948677682.79999995</v>
          </cell>
          <cell r="W19">
            <v>0</v>
          </cell>
          <cell r="X19">
            <v>0</v>
          </cell>
          <cell r="Y19">
            <v>1972762</v>
          </cell>
          <cell r="Z19">
            <v>55690050</v>
          </cell>
          <cell r="AA19">
            <v>130785680</v>
          </cell>
          <cell r="AB19">
            <v>74503931</v>
          </cell>
          <cell r="AC19">
            <v>257138729</v>
          </cell>
          <cell r="AD19">
            <v>326033370</v>
          </cell>
          <cell r="AE19">
            <v>418240000</v>
          </cell>
          <cell r="AF19">
            <v>386372346</v>
          </cell>
          <cell r="AG19">
            <v>475247301</v>
          </cell>
          <cell r="AH19">
            <v>575152529</v>
          </cell>
          <cell r="AI19">
            <v>674967762</v>
          </cell>
          <cell r="AJ19">
            <v>749964180</v>
          </cell>
          <cell r="AK19">
            <v>519757975</v>
          </cell>
          <cell r="AL19">
            <v>0</v>
          </cell>
          <cell r="AM19">
            <v>-24303</v>
          </cell>
          <cell r="AN19">
            <v>-91014</v>
          </cell>
          <cell r="AO19">
            <v>-4801554</v>
          </cell>
          <cell r="AP19">
            <v>-1253956</v>
          </cell>
          <cell r="AQ19">
            <v>-16069897.32</v>
          </cell>
          <cell r="AR19">
            <v>-9604649.4100000001</v>
          </cell>
          <cell r="AS19">
            <v>-7377966.0499999998</v>
          </cell>
          <cell r="AT19">
            <v>-199778511</v>
          </cell>
          <cell r="AU19">
            <v>2330428</v>
          </cell>
          <cell r="AV19">
            <v>950490</v>
          </cell>
          <cell r="AW19">
            <v>0</v>
          </cell>
          <cell r="AX19">
            <v>580000</v>
          </cell>
          <cell r="AY19">
            <v>-5782594</v>
          </cell>
          <cell r="AZ19">
            <v>43632594</v>
          </cell>
          <cell r="BA19">
            <v>7.0000000000000007E-2</v>
          </cell>
          <cell r="BB19">
            <v>0</v>
          </cell>
          <cell r="BC19">
            <v>-359227</v>
          </cell>
          <cell r="BD19">
            <v>-1755702</v>
          </cell>
          <cell r="BE19">
            <v>-1497488</v>
          </cell>
          <cell r="BF19">
            <v>-1485228</v>
          </cell>
          <cell r="BG19">
            <v>0</v>
          </cell>
          <cell r="BH19">
            <v>-627425</v>
          </cell>
          <cell r="BI19">
            <v>-1370401.82</v>
          </cell>
          <cell r="BJ19">
            <v>-569817.48</v>
          </cell>
          <cell r="BK19">
            <v>0</v>
          </cell>
        </row>
        <row r="20">
          <cell r="C20" t="str">
            <v>1.1.82</v>
          </cell>
          <cell r="D20" t="str">
            <v>Transport</v>
          </cell>
          <cell r="E20">
            <v>1919193</v>
          </cell>
          <cell r="F20">
            <v>1919193</v>
          </cell>
          <cell r="G20">
            <v>0</v>
          </cell>
          <cell r="H20">
            <v>0</v>
          </cell>
          <cell r="I20">
            <v>1482442498</v>
          </cell>
          <cell r="J20">
            <v>945891000</v>
          </cell>
          <cell r="K20">
            <v>1448057227</v>
          </cell>
          <cell r="L20">
            <v>1722753282</v>
          </cell>
          <cell r="M20">
            <v>1897853079</v>
          </cell>
          <cell r="N20">
            <v>2640168366</v>
          </cell>
          <cell r="O20">
            <v>2579156234</v>
          </cell>
          <cell r="P20">
            <v>0</v>
          </cell>
          <cell r="Q20">
            <v>1481463212</v>
          </cell>
          <cell r="R20">
            <v>944664914</v>
          </cell>
          <cell r="S20">
            <v>1447274920</v>
          </cell>
          <cell r="T20">
            <v>1722481524</v>
          </cell>
          <cell r="U20">
            <v>1897618005</v>
          </cell>
          <cell r="V20">
            <v>2638933288</v>
          </cell>
          <cell r="W20">
            <v>0</v>
          </cell>
          <cell r="X20">
            <v>0</v>
          </cell>
          <cell r="Y20">
            <v>13655435</v>
          </cell>
          <cell r="Z20">
            <v>804005792</v>
          </cell>
          <cell r="AA20">
            <v>663613239</v>
          </cell>
          <cell r="AB20">
            <v>785867675</v>
          </cell>
          <cell r="AC20">
            <v>1057892776</v>
          </cell>
          <cell r="AD20">
            <v>1311741091</v>
          </cell>
          <cell r="AE20">
            <v>1476650533</v>
          </cell>
          <cell r="AF20">
            <v>1402751780</v>
          </cell>
          <cell r="AG20">
            <v>1258049146</v>
          </cell>
          <cell r="AH20">
            <v>1202854192</v>
          </cell>
          <cell r="AI20">
            <v>951568215</v>
          </cell>
          <cell r="AJ20">
            <v>1430482873</v>
          </cell>
          <cell r="AK20">
            <v>0</v>
          </cell>
          <cell r="AL20">
            <v>0</v>
          </cell>
          <cell r="AM20">
            <v>-169133</v>
          </cell>
          <cell r="AN20">
            <v>-529178</v>
          </cell>
          <cell r="AO20">
            <v>-5504565</v>
          </cell>
          <cell r="AP20">
            <v>-23912555</v>
          </cell>
          <cell r="AQ20">
            <v>-19486791.760000002</v>
          </cell>
          <cell r="AR20">
            <v>-64844305.530000001</v>
          </cell>
          <cell r="AS20">
            <v>-61415693.799999997</v>
          </cell>
          <cell r="AT20">
            <v>-401214772</v>
          </cell>
          <cell r="AU20">
            <v>3566491</v>
          </cell>
          <cell r="AV20">
            <v>59582986</v>
          </cell>
          <cell r="AW20">
            <v>31625459</v>
          </cell>
          <cell r="AX20">
            <v>-7826762</v>
          </cell>
          <cell r="AY20">
            <v>16527420</v>
          </cell>
          <cell r="AZ20">
            <v>64255757</v>
          </cell>
          <cell r="BA20">
            <v>-2582101.9</v>
          </cell>
          <cell r="BB20">
            <v>0</v>
          </cell>
          <cell r="BC20">
            <v>-1750060</v>
          </cell>
          <cell r="BD20">
            <v>-1234527</v>
          </cell>
          <cell r="BE20">
            <v>-1795418</v>
          </cell>
          <cell r="BF20">
            <v>-1477939</v>
          </cell>
          <cell r="BG20">
            <v>0</v>
          </cell>
          <cell r="BH20">
            <v>-1657610</v>
          </cell>
          <cell r="BI20">
            <v>-751583.15</v>
          </cell>
          <cell r="BJ20">
            <v>-1515035.64</v>
          </cell>
          <cell r="BK20">
            <v>0</v>
          </cell>
        </row>
        <row r="21">
          <cell r="C21" t="str">
            <v>1.1.83</v>
          </cell>
          <cell r="D21" t="str">
            <v>Information and Communications Technology (ICT)</v>
          </cell>
          <cell r="E21">
            <v>144473</v>
          </cell>
          <cell r="F21">
            <v>133114</v>
          </cell>
          <cell r="G21">
            <v>0</v>
          </cell>
          <cell r="H21">
            <v>0</v>
          </cell>
          <cell r="I21">
            <v>84103003</v>
          </cell>
          <cell r="J21">
            <v>91965770</v>
          </cell>
          <cell r="K21">
            <v>187738498</v>
          </cell>
          <cell r="L21">
            <v>124537258</v>
          </cell>
          <cell r="M21">
            <v>169616388.90000001</v>
          </cell>
          <cell r="N21">
            <v>175136723</v>
          </cell>
          <cell r="O21">
            <v>210113451</v>
          </cell>
          <cell r="P21">
            <v>0</v>
          </cell>
          <cell r="Q21">
            <v>84103003</v>
          </cell>
          <cell r="R21">
            <v>91964602.319999993</v>
          </cell>
          <cell r="S21">
            <v>187738451.69999999</v>
          </cell>
          <cell r="T21">
            <v>124536716</v>
          </cell>
          <cell r="U21">
            <v>169612801</v>
          </cell>
          <cell r="V21">
            <v>171136723</v>
          </cell>
          <cell r="W21">
            <v>0</v>
          </cell>
          <cell r="X21">
            <v>0</v>
          </cell>
          <cell r="Y21">
            <v>147809</v>
          </cell>
          <cell r="Z21">
            <v>17907189</v>
          </cell>
          <cell r="AA21">
            <v>46897554</v>
          </cell>
          <cell r="AB21">
            <v>63226541</v>
          </cell>
          <cell r="AC21">
            <v>76572841</v>
          </cell>
          <cell r="AD21">
            <v>118200339</v>
          </cell>
          <cell r="AE21">
            <v>207504000</v>
          </cell>
          <cell r="AF21">
            <v>238750507</v>
          </cell>
          <cell r="AG21">
            <v>86858613</v>
          </cell>
          <cell r="AH21">
            <v>84057310</v>
          </cell>
          <cell r="AI21">
            <v>27167323</v>
          </cell>
          <cell r="AJ21">
            <v>6343438</v>
          </cell>
          <cell r="AK21">
            <v>2000847</v>
          </cell>
          <cell r="AL21">
            <v>0</v>
          </cell>
          <cell r="AM21">
            <v>-48121</v>
          </cell>
          <cell r="AN21">
            <v>-3485883</v>
          </cell>
          <cell r="AO21">
            <v>-292195</v>
          </cell>
          <cell r="AP21">
            <v>-1222214</v>
          </cell>
          <cell r="AQ21">
            <v>-9840153.7799999993</v>
          </cell>
          <cell r="AR21">
            <v>-11526684.619999999</v>
          </cell>
          <cell r="AS21">
            <v>-8823515.3200000003</v>
          </cell>
          <cell r="AT21">
            <v>-34798697</v>
          </cell>
          <cell r="AU21">
            <v>2263138</v>
          </cell>
          <cell r="AV21">
            <v>736027</v>
          </cell>
          <cell r="AW21">
            <v>8239778</v>
          </cell>
          <cell r="AX21">
            <v>141591</v>
          </cell>
          <cell r="AY21">
            <v>1135393</v>
          </cell>
          <cell r="AZ21">
            <v>125519</v>
          </cell>
          <cell r="BA21">
            <v>-1033184.12</v>
          </cell>
          <cell r="BB21">
            <v>0</v>
          </cell>
          <cell r="BC21">
            <v>-84993</v>
          </cell>
          <cell r="BD21">
            <v>-89715</v>
          </cell>
          <cell r="BE21">
            <v>-167522</v>
          </cell>
          <cell r="BF21">
            <v>-284652</v>
          </cell>
          <cell r="BG21">
            <v>0</v>
          </cell>
          <cell r="BH21">
            <v>3605858</v>
          </cell>
          <cell r="BI21">
            <v>-375632.66</v>
          </cell>
          <cell r="BJ21">
            <v>-436738.77</v>
          </cell>
          <cell r="BK21">
            <v>0</v>
          </cell>
        </row>
        <row r="22">
          <cell r="C22" t="str">
            <v>1.1.DAG</v>
          </cell>
          <cell r="D22" t="str">
            <v>Decentralised agencies</v>
          </cell>
          <cell r="E22">
            <v>39658306</v>
          </cell>
          <cell r="F22">
            <v>39658306</v>
          </cell>
          <cell r="G22">
            <v>39658306</v>
          </cell>
          <cell r="H22">
            <v>0</v>
          </cell>
          <cell r="I22">
            <v>238511198</v>
          </cell>
          <cell r="J22">
            <v>242568023</v>
          </cell>
          <cell r="K22">
            <v>311968869</v>
          </cell>
          <cell r="L22">
            <v>337703023</v>
          </cell>
          <cell r="M22">
            <v>311049646</v>
          </cell>
          <cell r="N22">
            <v>378749868</v>
          </cell>
          <cell r="O22">
            <v>399972507</v>
          </cell>
          <cell r="P22">
            <v>0</v>
          </cell>
          <cell r="Q22">
            <v>238511198</v>
          </cell>
          <cell r="R22">
            <v>242568023</v>
          </cell>
          <cell r="S22">
            <v>311968409.60000002</v>
          </cell>
          <cell r="T22">
            <v>337702037</v>
          </cell>
          <cell r="U22">
            <v>311049646</v>
          </cell>
          <cell r="V22">
            <v>359988025.10000002</v>
          </cell>
          <cell r="W22">
            <v>0</v>
          </cell>
          <cell r="X22">
            <v>0</v>
          </cell>
          <cell r="Y22">
            <v>238186764</v>
          </cell>
          <cell r="Z22">
            <v>234792555</v>
          </cell>
          <cell r="AA22">
            <v>311036875</v>
          </cell>
          <cell r="AB22">
            <v>319356925</v>
          </cell>
          <cell r="AC22">
            <v>306986383</v>
          </cell>
          <cell r="AD22">
            <v>360806670</v>
          </cell>
          <cell r="AE22">
            <v>401284598</v>
          </cell>
          <cell r="AF22">
            <v>21107069</v>
          </cell>
          <cell r="AG22">
            <v>5328059</v>
          </cell>
          <cell r="AH22">
            <v>2608000</v>
          </cell>
          <cell r="AI22">
            <v>3542750</v>
          </cell>
          <cell r="AJ22">
            <v>0</v>
          </cell>
          <cell r="AK22">
            <v>0</v>
          </cell>
          <cell r="AL22">
            <v>0</v>
          </cell>
          <cell r="AM22">
            <v>-9024105</v>
          </cell>
          <cell r="AN22">
            <v>-688</v>
          </cell>
          <cell r="AO22">
            <v>-8149771</v>
          </cell>
          <cell r="AP22">
            <v>-209718</v>
          </cell>
          <cell r="AQ22">
            <v>-1547069.69</v>
          </cell>
          <cell r="AR22">
            <v>0</v>
          </cell>
          <cell r="AS22">
            <v>-10151388.49</v>
          </cell>
          <cell r="AT22">
            <v>-15591651</v>
          </cell>
          <cell r="AU22">
            <v>405997</v>
          </cell>
          <cell r="AV22">
            <v>-830297</v>
          </cell>
          <cell r="AW22">
            <v>-23871</v>
          </cell>
          <cell r="AX22">
            <v>208102</v>
          </cell>
          <cell r="AY22">
            <v>-49968</v>
          </cell>
          <cell r="AZ22">
            <v>29452</v>
          </cell>
          <cell r="BA22">
            <v>239614.3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</row>
        <row r="23">
          <cell r="C23" t="str">
            <v>1.1.OTH</v>
          </cell>
          <cell r="D23" t="str">
            <v>Other actions and programmes</v>
          </cell>
          <cell r="E23">
            <v>598926852</v>
          </cell>
          <cell r="F23">
            <v>432767522</v>
          </cell>
          <cell r="G23">
            <v>431275076</v>
          </cell>
          <cell r="H23">
            <v>0</v>
          </cell>
          <cell r="I23">
            <v>203154446</v>
          </cell>
          <cell r="J23">
            <v>215573372</v>
          </cell>
          <cell r="K23">
            <v>208770806</v>
          </cell>
          <cell r="L23">
            <v>218343682</v>
          </cell>
          <cell r="M23">
            <v>174427216.59999999</v>
          </cell>
          <cell r="N23">
            <v>192585333.09999999</v>
          </cell>
          <cell r="O23">
            <v>696384000</v>
          </cell>
          <cell r="P23">
            <v>0</v>
          </cell>
          <cell r="Q23">
            <v>200314160.19999999</v>
          </cell>
          <cell r="R23">
            <v>214128922.80000001</v>
          </cell>
          <cell r="S23">
            <v>208065950.69999999</v>
          </cell>
          <cell r="T23">
            <v>217585356</v>
          </cell>
          <cell r="U23">
            <v>173898494</v>
          </cell>
          <cell r="V23">
            <v>192513958.19999999</v>
          </cell>
          <cell r="W23">
            <v>0</v>
          </cell>
          <cell r="X23">
            <v>0</v>
          </cell>
          <cell r="Y23">
            <v>212642629</v>
          </cell>
          <cell r="Z23">
            <v>201722575</v>
          </cell>
          <cell r="AA23">
            <v>192559772</v>
          </cell>
          <cell r="AB23">
            <v>197563971</v>
          </cell>
          <cell r="AC23">
            <v>169966089</v>
          </cell>
          <cell r="AD23">
            <v>163008306</v>
          </cell>
          <cell r="AE23">
            <v>684812500</v>
          </cell>
          <cell r="AF23">
            <v>140084319</v>
          </cell>
          <cell r="AG23">
            <v>86673528</v>
          </cell>
          <cell r="AH23">
            <v>47266282</v>
          </cell>
          <cell r="AI23">
            <v>13422125</v>
          </cell>
          <cell r="AJ23">
            <v>3019369</v>
          </cell>
          <cell r="AK23">
            <v>1804504</v>
          </cell>
          <cell r="AL23">
            <v>0</v>
          </cell>
          <cell r="AM23">
            <v>-102713468</v>
          </cell>
          <cell r="AN23">
            <v>-42324730</v>
          </cell>
          <cell r="AO23">
            <v>-22184558</v>
          </cell>
          <cell r="AP23">
            <v>-10731521</v>
          </cell>
          <cell r="AQ23">
            <v>-12950606.76</v>
          </cell>
          <cell r="AR23">
            <v>-16665737.609999999</v>
          </cell>
          <cell r="AS23">
            <v>-7112174.8300000001</v>
          </cell>
          <cell r="AT23">
            <v>-5291956</v>
          </cell>
          <cell r="AU23">
            <v>-11710070</v>
          </cell>
          <cell r="AV23">
            <v>2409754</v>
          </cell>
          <cell r="AW23">
            <v>-303798</v>
          </cell>
          <cell r="AX23">
            <v>-803333</v>
          </cell>
          <cell r="AY23">
            <v>2241555</v>
          </cell>
          <cell r="AZ23">
            <v>976505</v>
          </cell>
          <cell r="BA23">
            <v>-1580151.48</v>
          </cell>
          <cell r="BB23">
            <v>0</v>
          </cell>
          <cell r="BC23">
            <v>-709171</v>
          </cell>
          <cell r="BD23">
            <v>-660739</v>
          </cell>
          <cell r="BE23">
            <v>-827178</v>
          </cell>
          <cell r="BF23">
            <v>-899689</v>
          </cell>
          <cell r="BG23">
            <v>0</v>
          </cell>
          <cell r="BH23">
            <v>-1056554</v>
          </cell>
          <cell r="BI23">
            <v>-657331.18999999994</v>
          </cell>
          <cell r="BJ23">
            <v>-1167884.03</v>
          </cell>
          <cell r="BK23">
            <v>0</v>
          </cell>
        </row>
        <row r="24">
          <cell r="C24" t="str">
            <v>1.1.PPPA</v>
          </cell>
          <cell r="D24" t="str">
            <v>Pilot projects and preparatory actions</v>
          </cell>
          <cell r="E24">
            <v>43931896</v>
          </cell>
          <cell r="F24">
            <v>43931896</v>
          </cell>
          <cell r="G24">
            <v>43931896</v>
          </cell>
          <cell r="H24">
            <v>0</v>
          </cell>
          <cell r="I24">
            <v>16640000</v>
          </cell>
          <cell r="J24">
            <v>20792881</v>
          </cell>
          <cell r="K24">
            <v>28322877</v>
          </cell>
          <cell r="L24">
            <v>56311257</v>
          </cell>
          <cell r="M24">
            <v>91486562.079999998</v>
          </cell>
          <cell r="N24">
            <v>97206866</v>
          </cell>
          <cell r="O24">
            <v>85365000</v>
          </cell>
          <cell r="P24">
            <v>0</v>
          </cell>
          <cell r="Q24">
            <v>13936388.57</v>
          </cell>
          <cell r="R24">
            <v>19658843.420000002</v>
          </cell>
          <cell r="S24">
            <v>27416251.859999999</v>
          </cell>
          <cell r="T24">
            <v>55327385</v>
          </cell>
          <cell r="U24">
            <v>90701632</v>
          </cell>
          <cell r="V24">
            <v>97206420.519999996</v>
          </cell>
          <cell r="W24">
            <v>0</v>
          </cell>
          <cell r="X24">
            <v>0</v>
          </cell>
          <cell r="Y24">
            <v>18434257</v>
          </cell>
          <cell r="Z24">
            <v>16955946</v>
          </cell>
          <cell r="AA24">
            <v>17276569</v>
          </cell>
          <cell r="AB24">
            <v>29037494</v>
          </cell>
          <cell r="AC24">
            <v>47908450</v>
          </cell>
          <cell r="AD24">
            <v>64064155</v>
          </cell>
          <cell r="AE24">
            <v>94537293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-4988778</v>
          </cell>
          <cell r="AN24">
            <v>-3761231</v>
          </cell>
          <cell r="AO24">
            <v>-2320718</v>
          </cell>
          <cell r="AP24">
            <v>-1752622</v>
          </cell>
          <cell r="AQ24">
            <v>-2182726.48</v>
          </cell>
          <cell r="AR24">
            <v>-8461446.8000000007</v>
          </cell>
          <cell r="AS24">
            <v>-2727190.04</v>
          </cell>
          <cell r="AT24">
            <v>0</v>
          </cell>
          <cell r="AU24">
            <v>0</v>
          </cell>
          <cell r="AV24">
            <v>-6176</v>
          </cell>
          <cell r="AW24">
            <v>-73601</v>
          </cell>
          <cell r="AX24">
            <v>265785</v>
          </cell>
          <cell r="AY24">
            <v>265200</v>
          </cell>
          <cell r="AZ24">
            <v>-89600</v>
          </cell>
          <cell r="BA24">
            <v>-722974.71999999997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</row>
        <row r="25">
          <cell r="C25" t="str">
            <v>1.1.SPEC</v>
          </cell>
          <cell r="D25" t="str">
            <v>Actions financed under the prerogatives of the Commission and specific competences conferred to the Commission</v>
          </cell>
          <cell r="E25">
            <v>170784646</v>
          </cell>
          <cell r="F25">
            <v>170784646</v>
          </cell>
          <cell r="G25">
            <v>170784646</v>
          </cell>
          <cell r="H25">
            <v>0</v>
          </cell>
          <cell r="I25">
            <v>138226554</v>
          </cell>
          <cell r="J25">
            <v>131010212</v>
          </cell>
          <cell r="K25">
            <v>135425708</v>
          </cell>
          <cell r="L25">
            <v>138649511</v>
          </cell>
          <cell r="M25">
            <v>128554008.40000001</v>
          </cell>
          <cell r="N25">
            <v>132516970.90000001</v>
          </cell>
          <cell r="O25">
            <v>135684355</v>
          </cell>
          <cell r="P25">
            <v>0</v>
          </cell>
          <cell r="Q25">
            <v>133597737.8</v>
          </cell>
          <cell r="R25">
            <v>124613006</v>
          </cell>
          <cell r="S25">
            <v>130038457.3</v>
          </cell>
          <cell r="T25">
            <v>136817563</v>
          </cell>
          <cell r="U25">
            <v>125219972</v>
          </cell>
          <cell r="V25">
            <v>131675543</v>
          </cell>
          <cell r="W25">
            <v>0</v>
          </cell>
          <cell r="X25">
            <v>0</v>
          </cell>
          <cell r="Y25">
            <v>113574673</v>
          </cell>
          <cell r="Z25">
            <v>112909358</v>
          </cell>
          <cell r="AA25">
            <v>115743614</v>
          </cell>
          <cell r="AB25">
            <v>116873719</v>
          </cell>
          <cell r="AC25">
            <v>118759099</v>
          </cell>
          <cell r="AD25">
            <v>116312802</v>
          </cell>
          <cell r="AE25">
            <v>121640000</v>
          </cell>
          <cell r="AF25">
            <v>80793485</v>
          </cell>
          <cell r="AG25">
            <v>48663589</v>
          </cell>
          <cell r="AH25">
            <v>28209172</v>
          </cell>
          <cell r="AI25">
            <v>11593375</v>
          </cell>
          <cell r="AJ25">
            <v>0</v>
          </cell>
          <cell r="AK25">
            <v>0</v>
          </cell>
          <cell r="AL25">
            <v>0</v>
          </cell>
          <cell r="AM25">
            <v>-27955511</v>
          </cell>
          <cell r="AN25">
            <v>-11880885</v>
          </cell>
          <cell r="AO25">
            <v>-10912273</v>
          </cell>
          <cell r="AP25">
            <v>-8630507</v>
          </cell>
          <cell r="AQ25">
            <v>-12034156.83</v>
          </cell>
          <cell r="AR25">
            <v>-17806358.489999998</v>
          </cell>
          <cell r="AS25">
            <v>-4807174.8099999996</v>
          </cell>
          <cell r="AT25">
            <v>-2604581</v>
          </cell>
          <cell r="AU25">
            <v>-1218901</v>
          </cell>
          <cell r="AV25">
            <v>-2668014</v>
          </cell>
          <cell r="AW25">
            <v>-134940</v>
          </cell>
          <cell r="AX25">
            <v>276267</v>
          </cell>
          <cell r="AY25">
            <v>801879</v>
          </cell>
          <cell r="AZ25">
            <v>-235657</v>
          </cell>
          <cell r="BA25">
            <v>-938851.7</v>
          </cell>
          <cell r="BB25">
            <v>0</v>
          </cell>
          <cell r="BC25">
            <v>193053</v>
          </cell>
          <cell r="BD25">
            <v>0</v>
          </cell>
          <cell r="BE25">
            <v>0</v>
          </cell>
          <cell r="BF25">
            <v>279850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</row>
        <row r="26">
          <cell r="C26" t="str">
            <v>1.2.11</v>
          </cell>
          <cell r="D26" t="str">
            <v>Regional convergence (Less developed regions)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16884506479</v>
          </cell>
          <cell r="J26">
            <v>29804571467</v>
          </cell>
          <cell r="K26">
            <v>24751691713</v>
          </cell>
          <cell r="L26">
            <v>26091639054</v>
          </cell>
          <cell r="M26">
            <v>26959609385</v>
          </cell>
          <cell r="N26">
            <v>27884681937</v>
          </cell>
          <cell r="O26">
            <v>28762438100</v>
          </cell>
          <cell r="P26">
            <v>0</v>
          </cell>
          <cell r="Q26">
            <v>16877020529</v>
          </cell>
          <cell r="R26">
            <v>29804571467</v>
          </cell>
          <cell r="S26">
            <v>24751691712</v>
          </cell>
          <cell r="T26">
            <v>26091639054</v>
          </cell>
          <cell r="U26">
            <v>26959609385</v>
          </cell>
          <cell r="V26">
            <v>28034961218</v>
          </cell>
          <cell r="W26">
            <v>0</v>
          </cell>
          <cell r="X26">
            <v>0</v>
          </cell>
          <cell r="Y26">
            <v>678929914</v>
          </cell>
          <cell r="Z26">
            <v>3444476475</v>
          </cell>
          <cell r="AA26">
            <v>9316573503</v>
          </cell>
          <cell r="AB26">
            <v>11403769509</v>
          </cell>
          <cell r="AC26">
            <v>19318640416</v>
          </cell>
          <cell r="AD26">
            <v>23424795636</v>
          </cell>
          <cell r="AE26">
            <v>25413726293</v>
          </cell>
          <cell r="AF26">
            <v>26374770314</v>
          </cell>
          <cell r="AG26">
            <v>22969697944</v>
          </cell>
          <cell r="AH26">
            <v>13163215080</v>
          </cell>
          <cell r="AI26">
            <v>11159941747.089243</v>
          </cell>
          <cell r="AJ26">
            <v>5174209164.0892429</v>
          </cell>
          <cell r="AK26">
            <v>10096347257</v>
          </cell>
          <cell r="AL26">
            <v>-1610641838.1784861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-24718191</v>
          </cell>
          <cell r="AR26">
            <v>-178582505</v>
          </cell>
          <cell r="AS26">
            <v>-336208884</v>
          </cell>
          <cell r="AT26">
            <v>-1505059097</v>
          </cell>
          <cell r="AU26">
            <v>0</v>
          </cell>
          <cell r="AV26">
            <v>0</v>
          </cell>
          <cell r="AW26">
            <v>0</v>
          </cell>
          <cell r="AX26">
            <v>734100565</v>
          </cell>
          <cell r="AY26">
            <v>137039237</v>
          </cell>
          <cell r="AZ26">
            <v>324647605</v>
          </cell>
          <cell r="BA26">
            <v>-605302248.39999998</v>
          </cell>
          <cell r="BB26">
            <v>0</v>
          </cell>
          <cell r="BC26">
            <v>0</v>
          </cell>
          <cell r="BD26">
            <v>5601281529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158361512</v>
          </cell>
          <cell r="BK26">
            <v>0</v>
          </cell>
        </row>
        <row r="27">
          <cell r="C27" t="str">
            <v>1.2.12</v>
          </cell>
          <cell r="D27" t="str">
            <v>Transition regions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3270237652</v>
          </cell>
          <cell r="J27">
            <v>6500967799</v>
          </cell>
          <cell r="K27">
            <v>5024927620</v>
          </cell>
          <cell r="L27">
            <v>5612568187</v>
          </cell>
          <cell r="M27">
            <v>5728835089</v>
          </cell>
          <cell r="N27">
            <v>5853933243</v>
          </cell>
          <cell r="O27">
            <v>5963909396</v>
          </cell>
          <cell r="P27">
            <v>0</v>
          </cell>
          <cell r="Q27">
            <v>3268308107</v>
          </cell>
          <cell r="R27">
            <v>6500967791</v>
          </cell>
          <cell r="S27">
            <v>5024927614</v>
          </cell>
          <cell r="T27">
            <v>5612568187</v>
          </cell>
          <cell r="U27">
            <v>5728835089</v>
          </cell>
          <cell r="V27">
            <v>5870311137</v>
          </cell>
          <cell r="W27">
            <v>0</v>
          </cell>
          <cell r="X27">
            <v>0</v>
          </cell>
          <cell r="Y27">
            <v>163737948</v>
          </cell>
          <cell r="Z27">
            <v>785355448</v>
          </cell>
          <cell r="AA27">
            <v>1501078488</v>
          </cell>
          <cell r="AB27">
            <v>2066712407</v>
          </cell>
          <cell r="AC27">
            <v>3435359627</v>
          </cell>
          <cell r="AD27">
            <v>4098397331</v>
          </cell>
          <cell r="AE27">
            <v>4776711765</v>
          </cell>
          <cell r="AF27">
            <v>6258042355</v>
          </cell>
          <cell r="AG27">
            <v>5450867008</v>
          </cell>
          <cell r="AH27">
            <v>3123714627</v>
          </cell>
          <cell r="AI27">
            <v>2605377962.886776</v>
          </cell>
          <cell r="AJ27">
            <v>1184749903.8867762</v>
          </cell>
          <cell r="AK27">
            <v>2379544525</v>
          </cell>
          <cell r="AL27">
            <v>-297525933.77355242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-5583057</v>
          </cell>
          <cell r="AR27">
            <v>-23566975</v>
          </cell>
          <cell r="AS27">
            <v>-8215532</v>
          </cell>
          <cell r="AT27">
            <v>-359654407</v>
          </cell>
          <cell r="AU27">
            <v>0</v>
          </cell>
          <cell r="AV27">
            <v>0</v>
          </cell>
          <cell r="AW27">
            <v>0</v>
          </cell>
          <cell r="AX27">
            <v>223305923</v>
          </cell>
          <cell r="AY27">
            <v>62904136</v>
          </cell>
          <cell r="AZ27">
            <v>-246437650</v>
          </cell>
          <cell r="BA27">
            <v>-9957921.3100000005</v>
          </cell>
          <cell r="BB27">
            <v>0</v>
          </cell>
          <cell r="BC27">
            <v>0</v>
          </cell>
          <cell r="BD27">
            <v>394404295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19202207</v>
          </cell>
          <cell r="BK27">
            <v>0</v>
          </cell>
        </row>
        <row r="28">
          <cell r="C28" t="str">
            <v>1.2.13</v>
          </cell>
          <cell r="D28" t="str">
            <v>Competitiveness (More developed regions)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6323290004</v>
          </cell>
          <cell r="J28">
            <v>9154996894</v>
          </cell>
          <cell r="K28">
            <v>7900418439</v>
          </cell>
          <cell r="L28">
            <v>8296392916</v>
          </cell>
          <cell r="M28">
            <v>8467709066</v>
          </cell>
          <cell r="N28">
            <v>8675695815</v>
          </cell>
          <cell r="O28">
            <v>8822311588</v>
          </cell>
          <cell r="P28">
            <v>0</v>
          </cell>
          <cell r="Q28">
            <v>6320430219</v>
          </cell>
          <cell r="R28">
            <v>9154996894</v>
          </cell>
          <cell r="S28">
            <v>7900418439</v>
          </cell>
          <cell r="T28">
            <v>8296392916</v>
          </cell>
          <cell r="U28">
            <v>8466542510</v>
          </cell>
          <cell r="V28">
            <v>8703954311</v>
          </cell>
          <cell r="W28">
            <v>0</v>
          </cell>
          <cell r="X28">
            <v>0</v>
          </cell>
          <cell r="Y28">
            <v>281220017</v>
          </cell>
          <cell r="Z28">
            <v>1318547973</v>
          </cell>
          <cell r="AA28">
            <v>2502121939</v>
          </cell>
          <cell r="AB28">
            <v>3693434156</v>
          </cell>
          <cell r="AC28">
            <v>6294321328</v>
          </cell>
          <cell r="AD28">
            <v>7134803608</v>
          </cell>
          <cell r="AE28">
            <v>7698026179</v>
          </cell>
          <cell r="AF28">
            <v>8502982387</v>
          </cell>
          <cell r="AG28">
            <v>7419158614</v>
          </cell>
          <cell r="AH28">
            <v>4251565028</v>
          </cell>
          <cell r="AI28">
            <v>3568411669.598217</v>
          </cell>
          <cell r="AJ28">
            <v>1631864232.5982168</v>
          </cell>
          <cell r="AK28">
            <v>2960172538</v>
          </cell>
          <cell r="AL28">
            <v>-470101259.1964336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-11767451</v>
          </cell>
          <cell r="AR28">
            <v>-48857139</v>
          </cell>
          <cell r="AS28">
            <v>-37229607</v>
          </cell>
          <cell r="AT28">
            <v>-531918318</v>
          </cell>
          <cell r="AU28">
            <v>0</v>
          </cell>
          <cell r="AV28">
            <v>0</v>
          </cell>
          <cell r="AW28">
            <v>0</v>
          </cell>
          <cell r="AX28">
            <v>82681960</v>
          </cell>
          <cell r="AY28">
            <v>-362238889</v>
          </cell>
          <cell r="AZ28">
            <v>158859446</v>
          </cell>
          <cell r="BA28">
            <v>-288294265.5</v>
          </cell>
          <cell r="BB28">
            <v>0</v>
          </cell>
          <cell r="BC28">
            <v>0</v>
          </cell>
          <cell r="BD28">
            <v>1527568668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29588723</v>
          </cell>
          <cell r="BK28">
            <v>0</v>
          </cell>
        </row>
        <row r="29">
          <cell r="C29" t="str">
            <v>1.2.14</v>
          </cell>
          <cell r="D29" t="str">
            <v>Outermost and sparsely populated regions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144093487</v>
          </cell>
          <cell r="J29">
            <v>278520741</v>
          </cell>
          <cell r="K29">
            <v>217673091</v>
          </cell>
          <cell r="L29">
            <v>222029433</v>
          </cell>
          <cell r="M29">
            <v>226472828</v>
          </cell>
          <cell r="N29">
            <v>231004998</v>
          </cell>
          <cell r="O29">
            <v>235627457</v>
          </cell>
          <cell r="P29">
            <v>0</v>
          </cell>
          <cell r="Q29">
            <v>144093487</v>
          </cell>
          <cell r="R29">
            <v>278520741</v>
          </cell>
          <cell r="S29">
            <v>217673091</v>
          </cell>
          <cell r="T29">
            <v>222029433</v>
          </cell>
          <cell r="U29">
            <v>226472828</v>
          </cell>
          <cell r="V29">
            <v>231004998</v>
          </cell>
          <cell r="W29">
            <v>0</v>
          </cell>
          <cell r="X29">
            <v>0</v>
          </cell>
          <cell r="Y29">
            <v>6598693</v>
          </cell>
          <cell r="Z29">
            <v>25428484</v>
          </cell>
          <cell r="AA29">
            <v>85465018</v>
          </cell>
          <cell r="AB29">
            <v>125885700</v>
          </cell>
          <cell r="AC29">
            <v>257176970</v>
          </cell>
          <cell r="AD29">
            <v>214704623</v>
          </cell>
          <cell r="AE29">
            <v>201595787</v>
          </cell>
          <cell r="AF29">
            <v>190266781</v>
          </cell>
          <cell r="AG29">
            <v>165065599</v>
          </cell>
          <cell r="AH29">
            <v>94599532</v>
          </cell>
          <cell r="AI29">
            <v>81641781.515657946</v>
          </cell>
          <cell r="AJ29">
            <v>38771782.515657946</v>
          </cell>
          <cell r="AK29">
            <v>86307611</v>
          </cell>
          <cell r="AL29">
            <v>-13442309.031315887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-144600</v>
          </cell>
          <cell r="AT29">
            <v>-8723101</v>
          </cell>
          <cell r="AU29">
            <v>0</v>
          </cell>
          <cell r="AV29">
            <v>0</v>
          </cell>
          <cell r="AW29">
            <v>0</v>
          </cell>
          <cell r="AX29">
            <v>-5580209</v>
          </cell>
          <cell r="AY29">
            <v>5725182</v>
          </cell>
          <cell r="AZ29">
            <v>13222145</v>
          </cell>
          <cell r="BA29">
            <v>-18947327.399999999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</row>
        <row r="30">
          <cell r="C30" t="str">
            <v>1.2.15</v>
          </cell>
          <cell r="D30" t="str">
            <v>Cohesion fund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6112601909</v>
          </cell>
          <cell r="J30">
            <v>10173251052</v>
          </cell>
          <cell r="K30">
            <v>8732034574</v>
          </cell>
          <cell r="L30">
            <v>9055827791</v>
          </cell>
          <cell r="M30">
            <v>9393849254</v>
          </cell>
          <cell r="N30">
            <v>9753622052</v>
          </cell>
          <cell r="O30">
            <v>10064646374</v>
          </cell>
          <cell r="P30">
            <v>0</v>
          </cell>
          <cell r="Q30">
            <v>7092374158</v>
          </cell>
          <cell r="R30">
            <v>10173251052</v>
          </cell>
          <cell r="S30">
            <v>8732034574</v>
          </cell>
          <cell r="T30">
            <v>9055827791</v>
          </cell>
          <cell r="U30">
            <v>9393849254</v>
          </cell>
          <cell r="V30">
            <v>9753622052</v>
          </cell>
          <cell r="W30">
            <v>0</v>
          </cell>
          <cell r="X30">
            <v>0</v>
          </cell>
          <cell r="Y30">
            <v>204254030</v>
          </cell>
          <cell r="Z30">
            <v>1216035800</v>
          </cell>
          <cell r="AA30">
            <v>4191055956</v>
          </cell>
          <cell r="AB30">
            <v>5444485886</v>
          </cell>
          <cell r="AC30">
            <v>7356481633</v>
          </cell>
          <cell r="AD30">
            <v>7754677475</v>
          </cell>
          <cell r="AE30">
            <v>8300000000</v>
          </cell>
          <cell r="AF30">
            <v>9678993775</v>
          </cell>
          <cell r="AG30">
            <v>8226895823</v>
          </cell>
          <cell r="AH30">
            <v>2791852008</v>
          </cell>
          <cell r="AI30">
            <v>4058430519.3990803</v>
          </cell>
          <cell r="AJ30">
            <v>1969331597.39908</v>
          </cell>
          <cell r="AK30">
            <v>3900470688</v>
          </cell>
          <cell r="AL30">
            <v>-553436066.79816008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-982996970</v>
          </cell>
          <cell r="AV30">
            <v>0</v>
          </cell>
          <cell r="AW30">
            <v>0</v>
          </cell>
          <cell r="AX30">
            <v>-109353111</v>
          </cell>
          <cell r="AY30">
            <v>262316915</v>
          </cell>
          <cell r="AZ30">
            <v>1103970681</v>
          </cell>
          <cell r="BA30">
            <v>-931705178.5</v>
          </cell>
          <cell r="BB30">
            <v>0</v>
          </cell>
          <cell r="BC30">
            <v>0</v>
          </cell>
          <cell r="BD30">
            <v>761296791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1500000</v>
          </cell>
          <cell r="BK30">
            <v>0</v>
          </cell>
        </row>
        <row r="31">
          <cell r="C31" t="str">
            <v>1.2.16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5000000000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2500000000</v>
          </cell>
          <cell r="AF31">
            <v>275000000</v>
          </cell>
          <cell r="AG31">
            <v>475000000</v>
          </cell>
          <cell r="AH31">
            <v>1700000000</v>
          </cell>
          <cell r="AI31">
            <v>0</v>
          </cell>
          <cell r="AJ31">
            <v>50000000</v>
          </cell>
          <cell r="AK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</row>
        <row r="32">
          <cell r="C32" t="str">
            <v>1.2.2</v>
          </cell>
          <cell r="D32" t="str">
            <v>European territorial cooperation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152247345</v>
          </cell>
          <cell r="J32">
            <v>1047722148</v>
          </cell>
          <cell r="K32">
            <v>1048838716</v>
          </cell>
          <cell r="L32">
            <v>1939823546</v>
          </cell>
          <cell r="M32">
            <v>1934268881</v>
          </cell>
          <cell r="N32">
            <v>1972954405</v>
          </cell>
          <cell r="O32">
            <v>2012413622</v>
          </cell>
          <cell r="P32">
            <v>0</v>
          </cell>
          <cell r="Q32">
            <v>152247345</v>
          </cell>
          <cell r="R32">
            <v>1040489281</v>
          </cell>
          <cell r="S32">
            <v>1048838716</v>
          </cell>
          <cell r="T32">
            <v>1939823546</v>
          </cell>
          <cell r="U32">
            <v>1934268881</v>
          </cell>
          <cell r="V32">
            <v>1972938433</v>
          </cell>
          <cell r="W32">
            <v>0</v>
          </cell>
          <cell r="X32">
            <v>0</v>
          </cell>
          <cell r="Y32">
            <v>19725010</v>
          </cell>
          <cell r="Z32">
            <v>181440244</v>
          </cell>
          <cell r="AA32">
            <v>340633734</v>
          </cell>
          <cell r="AB32">
            <v>453680377</v>
          </cell>
          <cell r="AC32">
            <v>971031489</v>
          </cell>
          <cell r="AD32">
            <v>1446028136</v>
          </cell>
          <cell r="AE32">
            <v>1284989134</v>
          </cell>
          <cell r="AF32">
            <v>1684684238</v>
          </cell>
          <cell r="AG32">
            <v>1461544739</v>
          </cell>
          <cell r="AH32">
            <v>837615164</v>
          </cell>
          <cell r="AI32">
            <v>710007506.51102519</v>
          </cell>
          <cell r="AJ32">
            <v>330422524.51102519</v>
          </cell>
          <cell r="AK32">
            <v>764195783</v>
          </cell>
          <cell r="AL32">
            <v>-93271593.022050411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-219823</v>
          </cell>
          <cell r="AS32">
            <v>0</v>
          </cell>
          <cell r="AT32">
            <v>-77237184</v>
          </cell>
          <cell r="AU32">
            <v>0</v>
          </cell>
          <cell r="AV32">
            <v>0</v>
          </cell>
          <cell r="AW32">
            <v>0</v>
          </cell>
          <cell r="AX32">
            <v>131411162</v>
          </cell>
          <cell r="AY32">
            <v>120204817</v>
          </cell>
          <cell r="AZ32">
            <v>117547689</v>
          </cell>
          <cell r="BA32">
            <v>-149903339.40000001</v>
          </cell>
          <cell r="BB32">
            <v>0</v>
          </cell>
          <cell r="BC32">
            <v>0</v>
          </cell>
          <cell r="BD32">
            <v>50624280</v>
          </cell>
          <cell r="BE32">
            <v>0</v>
          </cell>
          <cell r="BF32">
            <v>0</v>
          </cell>
          <cell r="BG32">
            <v>0</v>
          </cell>
          <cell r="BH32">
            <v>23067859</v>
          </cell>
          <cell r="BI32">
            <v>0</v>
          </cell>
          <cell r="BJ32">
            <v>0</v>
          </cell>
          <cell r="BK32">
            <v>0</v>
          </cell>
        </row>
        <row r="33">
          <cell r="C33" t="str">
            <v>1.2.31</v>
          </cell>
          <cell r="D33" t="str">
            <v>Technical assistance</v>
          </cell>
          <cell r="E33">
            <v>14798618</v>
          </cell>
          <cell r="F33">
            <v>14798618</v>
          </cell>
          <cell r="G33">
            <v>0</v>
          </cell>
          <cell r="H33">
            <v>0</v>
          </cell>
          <cell r="I33">
            <v>188784741</v>
          </cell>
          <cell r="J33">
            <v>192828945</v>
          </cell>
          <cell r="K33">
            <v>230949523</v>
          </cell>
          <cell r="L33">
            <v>215966203</v>
          </cell>
          <cell r="M33">
            <v>251784592</v>
          </cell>
          <cell r="N33">
            <v>239700874</v>
          </cell>
          <cell r="O33">
            <v>274321154</v>
          </cell>
          <cell r="P33">
            <v>0</v>
          </cell>
          <cell r="Q33">
            <v>193978652.09999999</v>
          </cell>
          <cell r="R33">
            <v>172955769.80000001</v>
          </cell>
          <cell r="S33">
            <v>211221038.5</v>
          </cell>
          <cell r="T33">
            <v>208512519</v>
          </cell>
          <cell r="U33">
            <v>246082175</v>
          </cell>
          <cell r="V33">
            <v>227764432.90000001</v>
          </cell>
          <cell r="W33">
            <v>0</v>
          </cell>
          <cell r="X33">
            <v>0</v>
          </cell>
          <cell r="Y33">
            <v>62683595</v>
          </cell>
          <cell r="Z33">
            <v>152798666</v>
          </cell>
          <cell r="AA33">
            <v>176196949</v>
          </cell>
          <cell r="AB33">
            <v>156158430</v>
          </cell>
          <cell r="AC33">
            <v>195088210</v>
          </cell>
          <cell r="AD33">
            <v>185787708</v>
          </cell>
          <cell r="AE33">
            <v>230928007</v>
          </cell>
          <cell r="AF33">
            <v>113579257</v>
          </cell>
          <cell r="AG33">
            <v>84408372</v>
          </cell>
          <cell r="AH33">
            <v>53382914</v>
          </cell>
          <cell r="AI33">
            <v>29022264</v>
          </cell>
          <cell r="AJ33">
            <v>16751757</v>
          </cell>
          <cell r="AK33">
            <v>5567112</v>
          </cell>
          <cell r="AL33">
            <v>0</v>
          </cell>
          <cell r="AM33">
            <v>-2066900</v>
          </cell>
          <cell r="AN33">
            <v>-3013688</v>
          </cell>
          <cell r="AO33">
            <v>-20341796</v>
          </cell>
          <cell r="AP33">
            <v>-7901315</v>
          </cell>
          <cell r="AQ33">
            <v>-18240924.82</v>
          </cell>
          <cell r="AR33">
            <v>-19556237.43</v>
          </cell>
          <cell r="AS33">
            <v>-6770958.6900000004</v>
          </cell>
          <cell r="AT33">
            <v>2831314</v>
          </cell>
          <cell r="AU33">
            <v>-1240000</v>
          </cell>
          <cell r="AV33">
            <v>0</v>
          </cell>
          <cell r="AW33">
            <v>0</v>
          </cell>
          <cell r="AX33">
            <v>-46725</v>
          </cell>
          <cell r="AY33">
            <v>-222986</v>
          </cell>
          <cell r="AZ33">
            <v>-835832</v>
          </cell>
          <cell r="BA33">
            <v>140178.06</v>
          </cell>
          <cell r="BB33">
            <v>0</v>
          </cell>
          <cell r="BC33">
            <v>-12818153</v>
          </cell>
          <cell r="BD33">
            <v>-13995416</v>
          </cell>
          <cell r="BE33">
            <v>-11757025</v>
          </cell>
          <cell r="BF33">
            <v>-10512593</v>
          </cell>
          <cell r="BG33">
            <v>0</v>
          </cell>
          <cell r="BH33">
            <v>-9667939</v>
          </cell>
          <cell r="BI33">
            <v>-10295623.189999999</v>
          </cell>
          <cell r="BJ33">
            <v>-12688688.859999999</v>
          </cell>
          <cell r="BK33">
            <v>0</v>
          </cell>
        </row>
        <row r="34">
          <cell r="C34" t="str">
            <v>1.2.4</v>
          </cell>
          <cell r="D34" t="str">
            <v>European Aid to the Most Deprived (FEAD)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514789706</v>
          </cell>
          <cell r="J34">
            <v>525082709</v>
          </cell>
          <cell r="K34">
            <v>535582658</v>
          </cell>
          <cell r="L34">
            <v>546256912</v>
          </cell>
          <cell r="M34">
            <v>556874653</v>
          </cell>
          <cell r="N34">
            <v>567780144</v>
          </cell>
          <cell r="O34">
            <v>578987746</v>
          </cell>
          <cell r="P34">
            <v>0</v>
          </cell>
          <cell r="Q34">
            <v>512987948</v>
          </cell>
          <cell r="R34">
            <v>524442419</v>
          </cell>
          <cell r="S34">
            <v>535143764.60000002</v>
          </cell>
          <cell r="T34">
            <v>545742600</v>
          </cell>
          <cell r="U34">
            <v>556657649</v>
          </cell>
          <cell r="V34">
            <v>567019674</v>
          </cell>
          <cell r="W34">
            <v>0</v>
          </cell>
          <cell r="X34">
            <v>0</v>
          </cell>
          <cell r="Y34">
            <v>409526764</v>
          </cell>
          <cell r="Z34">
            <v>45558482</v>
          </cell>
          <cell r="AA34">
            <v>278162066</v>
          </cell>
          <cell r="AB34">
            <v>291090714</v>
          </cell>
          <cell r="AC34">
            <v>347030888</v>
          </cell>
          <cell r="AD34">
            <v>411924415</v>
          </cell>
          <cell r="AE34">
            <v>411180000</v>
          </cell>
          <cell r="AF34">
            <v>545000000</v>
          </cell>
          <cell r="AG34">
            <v>405023766</v>
          </cell>
          <cell r="AH34">
            <v>243014260</v>
          </cell>
          <cell r="AI34">
            <v>183712834</v>
          </cell>
          <cell r="AJ34">
            <v>110808555</v>
          </cell>
          <cell r="AK34">
            <v>0</v>
          </cell>
          <cell r="AL34">
            <v>70000000</v>
          </cell>
          <cell r="AM34">
            <v>0</v>
          </cell>
          <cell r="AN34">
            <v>-198574</v>
          </cell>
          <cell r="AO34">
            <v>-193369</v>
          </cell>
          <cell r="AP34">
            <v>-377483</v>
          </cell>
          <cell r="AQ34">
            <v>-216639.32</v>
          </cell>
          <cell r="AR34">
            <v>-1016468.17</v>
          </cell>
          <cell r="AS34">
            <v>-84684.11</v>
          </cell>
          <cell r="AT34">
            <v>0</v>
          </cell>
          <cell r="AU34">
            <v>1240000</v>
          </cell>
          <cell r="AV34">
            <v>0</v>
          </cell>
          <cell r="AW34">
            <v>0</v>
          </cell>
          <cell r="AX34">
            <v>6439498</v>
          </cell>
          <cell r="AY34">
            <v>-6439498</v>
          </cell>
          <cell r="AZ34">
            <v>-68385097</v>
          </cell>
          <cell r="BA34">
            <v>-1424012.78</v>
          </cell>
          <cell r="BB34">
            <v>0</v>
          </cell>
          <cell r="BC34">
            <v>0</v>
          </cell>
          <cell r="BD34">
            <v>12203892</v>
          </cell>
          <cell r="BE34">
            <v>-11713</v>
          </cell>
          <cell r="BF34">
            <v>-3832</v>
          </cell>
          <cell r="BG34">
            <v>0</v>
          </cell>
          <cell r="BH34">
            <v>-52080</v>
          </cell>
          <cell r="BI34">
            <v>-22299.040000000001</v>
          </cell>
          <cell r="BJ34">
            <v>-95516.23</v>
          </cell>
          <cell r="BK34">
            <v>0</v>
          </cell>
        </row>
        <row r="35">
          <cell r="C35" t="str">
            <v>1.2.5</v>
          </cell>
          <cell r="D35" t="str">
            <v>Youth Employment initiative (specific top-up allocation)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1706644381</v>
          </cell>
          <cell r="J35">
            <v>1504571025</v>
          </cell>
          <cell r="K35">
            <v>0</v>
          </cell>
          <cell r="L35">
            <v>500000000</v>
          </cell>
          <cell r="M35">
            <v>350000000</v>
          </cell>
          <cell r="N35">
            <v>308522272</v>
          </cell>
          <cell r="O35">
            <v>145000000</v>
          </cell>
          <cell r="P35">
            <v>0</v>
          </cell>
          <cell r="Q35">
            <v>1706644381</v>
          </cell>
          <cell r="R35">
            <v>1504571024</v>
          </cell>
          <cell r="S35">
            <v>0</v>
          </cell>
          <cell r="T35">
            <v>500000000</v>
          </cell>
          <cell r="U35">
            <v>350000000</v>
          </cell>
          <cell r="V35">
            <v>302382301</v>
          </cell>
          <cell r="W35">
            <v>0</v>
          </cell>
          <cell r="X35">
            <v>0</v>
          </cell>
          <cell r="Y35">
            <v>34343715</v>
          </cell>
          <cell r="Z35">
            <v>1035056386</v>
          </cell>
          <cell r="AA35">
            <v>346599485</v>
          </cell>
          <cell r="AB35">
            <v>49003607</v>
          </cell>
          <cell r="AC35">
            <v>820000000</v>
          </cell>
          <cell r="AD35">
            <v>522891931</v>
          </cell>
          <cell r="AE35">
            <v>603000000</v>
          </cell>
          <cell r="AF35">
            <v>643000000</v>
          </cell>
          <cell r="AG35">
            <v>164974082</v>
          </cell>
          <cell r="AH35">
            <v>73799118</v>
          </cell>
          <cell r="AI35">
            <v>32209706.000000007</v>
          </cell>
          <cell r="AJ35">
            <v>10069970.000000007</v>
          </cell>
          <cell r="AK35">
            <v>0</v>
          </cell>
          <cell r="AL35">
            <v>68418999.999999985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-7465678</v>
          </cell>
          <cell r="AR35">
            <v>-13336967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420116068</v>
          </cell>
          <cell r="AX35">
            <v>-418621915</v>
          </cell>
          <cell r="AY35">
            <v>-115446975</v>
          </cell>
          <cell r="AZ35">
            <v>54908503</v>
          </cell>
          <cell r="BA35">
            <v>64418157.590000004</v>
          </cell>
          <cell r="BB35">
            <v>0</v>
          </cell>
          <cell r="BC35">
            <v>0</v>
          </cell>
          <cell r="BD35">
            <v>132290556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25383742</v>
          </cell>
          <cell r="BK35">
            <v>0</v>
          </cell>
        </row>
        <row r="36">
          <cell r="C36" t="str">
            <v>1.2.6</v>
          </cell>
          <cell r="D36" t="str">
            <v>Contribution to the Connecting Europe Facility (CEF)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982996970</v>
          </cell>
          <cell r="J36">
            <v>1216978479</v>
          </cell>
          <cell r="K36">
            <v>2376533929</v>
          </cell>
          <cell r="L36">
            <v>1593294593</v>
          </cell>
          <cell r="M36">
            <v>1655141180</v>
          </cell>
          <cell r="N36">
            <v>1700429260</v>
          </cell>
          <cell r="O36">
            <v>1780568418</v>
          </cell>
          <cell r="P36">
            <v>0</v>
          </cell>
          <cell r="Q36">
            <v>0</v>
          </cell>
          <cell r="R36">
            <v>1216978479</v>
          </cell>
          <cell r="S36">
            <v>2376533929</v>
          </cell>
          <cell r="T36">
            <v>1593294593</v>
          </cell>
          <cell r="U36">
            <v>1655141180</v>
          </cell>
          <cell r="V36">
            <v>1700429260</v>
          </cell>
          <cell r="W36">
            <v>0</v>
          </cell>
          <cell r="X36">
            <v>0</v>
          </cell>
          <cell r="Y36">
            <v>0</v>
          </cell>
          <cell r="Z36">
            <v>393562710</v>
          </cell>
          <cell r="AA36">
            <v>776989118</v>
          </cell>
          <cell r="AB36">
            <v>289556940</v>
          </cell>
          <cell r="AC36">
            <v>724771882</v>
          </cell>
          <cell r="AD36">
            <v>843400306</v>
          </cell>
          <cell r="AE36">
            <v>1113461793</v>
          </cell>
          <cell r="AF36">
            <v>1303600000</v>
          </cell>
          <cell r="AG36">
            <v>1550000000</v>
          </cell>
          <cell r="AH36">
            <v>1550000000</v>
          </cell>
          <cell r="AI36">
            <v>850000000</v>
          </cell>
          <cell r="AJ36">
            <v>1442280845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-3009938</v>
          </cell>
          <cell r="AP36">
            <v>-1003</v>
          </cell>
          <cell r="AQ36">
            <v>-12680314.539999999</v>
          </cell>
          <cell r="AR36">
            <v>-11255996.6</v>
          </cell>
          <cell r="AS36">
            <v>-51580296.869999997</v>
          </cell>
          <cell r="AT36">
            <v>-410172000</v>
          </cell>
          <cell r="AU36">
            <v>982996970</v>
          </cell>
          <cell r="AV36">
            <v>0</v>
          </cell>
          <cell r="AW36">
            <v>-631802</v>
          </cell>
          <cell r="AX36">
            <v>-1577371</v>
          </cell>
          <cell r="AY36">
            <v>-27426935</v>
          </cell>
          <cell r="AZ36">
            <v>-1563877</v>
          </cell>
          <cell r="BA36">
            <v>50180.9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</row>
        <row r="37">
          <cell r="C37" t="str">
            <v>1.2.PPPA</v>
          </cell>
          <cell r="D37" t="str">
            <v>Pilot projects and preparatory actions</v>
          </cell>
          <cell r="E37">
            <v>11763821</v>
          </cell>
          <cell r="F37">
            <v>11763821</v>
          </cell>
          <cell r="G37">
            <v>11763821</v>
          </cell>
          <cell r="H37">
            <v>0</v>
          </cell>
          <cell r="I37">
            <v>5950000</v>
          </cell>
          <cell r="J37">
            <v>3500000</v>
          </cell>
          <cell r="K37">
            <v>12500000</v>
          </cell>
          <cell r="L37">
            <v>12800000</v>
          </cell>
          <cell r="M37">
            <v>7700000</v>
          </cell>
          <cell r="N37">
            <v>3675000</v>
          </cell>
          <cell r="O37">
            <v>5600000</v>
          </cell>
          <cell r="P37">
            <v>0</v>
          </cell>
          <cell r="Q37">
            <v>5857676.25</v>
          </cell>
          <cell r="R37">
            <v>3500000</v>
          </cell>
          <cell r="S37">
            <v>12500000</v>
          </cell>
          <cell r="T37">
            <v>12786147</v>
          </cell>
          <cell r="U37">
            <v>7678955</v>
          </cell>
          <cell r="V37">
            <v>3675000</v>
          </cell>
          <cell r="W37">
            <v>0</v>
          </cell>
          <cell r="X37">
            <v>0</v>
          </cell>
          <cell r="Y37">
            <v>5952463</v>
          </cell>
          <cell r="Z37">
            <v>3740821</v>
          </cell>
          <cell r="AA37">
            <v>7218527</v>
          </cell>
          <cell r="AB37">
            <v>4827693</v>
          </cell>
          <cell r="AC37">
            <v>8606348</v>
          </cell>
          <cell r="AD37">
            <v>10577533</v>
          </cell>
          <cell r="AE37">
            <v>12137892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-723183</v>
          </cell>
          <cell r="AN37">
            <v>-187846</v>
          </cell>
          <cell r="AO37">
            <v>-1263769</v>
          </cell>
          <cell r="AP37">
            <v>-838483</v>
          </cell>
          <cell r="AQ37">
            <v>-721720.68</v>
          </cell>
          <cell r="AR37">
            <v>-1093932.3999999999</v>
          </cell>
          <cell r="AS37">
            <v>-300493.43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-8852</v>
          </cell>
          <cell r="AZ37">
            <v>-53602</v>
          </cell>
          <cell r="BA37">
            <v>-41250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</row>
        <row r="38">
          <cell r="C38" t="str">
            <v>2.0.10</v>
          </cell>
          <cell r="D38" t="str">
            <v>European Agricultural Guarantee Fund (EAGF) -  Market related expenditure and direct payments</v>
          </cell>
          <cell r="E38">
            <v>39828925</v>
          </cell>
          <cell r="F38">
            <v>39828925</v>
          </cell>
          <cell r="G38">
            <v>26527144</v>
          </cell>
          <cell r="H38">
            <v>0</v>
          </cell>
          <cell r="I38">
            <v>43779354728</v>
          </cell>
          <cell r="J38">
            <v>43456076762</v>
          </cell>
          <cell r="K38">
            <v>42219085824</v>
          </cell>
          <cell r="L38">
            <v>42610672079</v>
          </cell>
          <cell r="M38">
            <v>43233596530</v>
          </cell>
          <cell r="N38">
            <v>43192398200</v>
          </cell>
          <cell r="O38">
            <v>43410105687</v>
          </cell>
          <cell r="P38">
            <v>0</v>
          </cell>
          <cell r="Q38">
            <v>43764893899</v>
          </cell>
          <cell r="R38">
            <v>43414289826</v>
          </cell>
          <cell r="S38">
            <v>42196853526</v>
          </cell>
          <cell r="T38">
            <v>42592249219</v>
          </cell>
          <cell r="U38">
            <v>43209633817</v>
          </cell>
          <cell r="V38">
            <v>43184806506</v>
          </cell>
          <cell r="W38">
            <v>0</v>
          </cell>
          <cell r="X38">
            <v>0</v>
          </cell>
          <cell r="Y38">
            <v>43761204999</v>
          </cell>
          <cell r="Z38">
            <v>43403692383</v>
          </cell>
          <cell r="AA38">
            <v>42180623567</v>
          </cell>
          <cell r="AB38">
            <v>42628743534</v>
          </cell>
          <cell r="AC38">
            <v>43163689398</v>
          </cell>
          <cell r="AD38">
            <v>43118922179</v>
          </cell>
          <cell r="AE38">
            <v>43380031798</v>
          </cell>
          <cell r="AF38">
            <v>99360876</v>
          </cell>
          <cell r="AG38">
            <v>93441728</v>
          </cell>
          <cell r="AH38">
            <v>40879234</v>
          </cell>
          <cell r="AI38">
            <v>12186666</v>
          </cell>
          <cell r="AJ38">
            <v>0</v>
          </cell>
          <cell r="AK38">
            <v>0</v>
          </cell>
          <cell r="AL38">
            <v>0</v>
          </cell>
          <cell r="AM38">
            <v>-2513938</v>
          </cell>
          <cell r="AN38">
            <v>-2493059</v>
          </cell>
          <cell r="AO38">
            <v>-3141875</v>
          </cell>
          <cell r="AP38">
            <v>-2196672</v>
          </cell>
          <cell r="AQ38">
            <v>-13580944.02</v>
          </cell>
          <cell r="AR38">
            <v>-6024328.8399999999</v>
          </cell>
          <cell r="AS38">
            <v>-10192739.84</v>
          </cell>
          <cell r="AT38">
            <v>-13785443</v>
          </cell>
          <cell r="AU38">
            <v>0</v>
          </cell>
          <cell r="AV38">
            <v>0</v>
          </cell>
          <cell r="AW38">
            <v>1125918</v>
          </cell>
          <cell r="AX38">
            <v>101753593</v>
          </cell>
          <cell r="AY38">
            <v>19810318</v>
          </cell>
          <cell r="AZ38">
            <v>782407</v>
          </cell>
          <cell r="BA38">
            <v>0</v>
          </cell>
          <cell r="BB38">
            <v>0</v>
          </cell>
          <cell r="BC38">
            <v>-12203883</v>
          </cell>
          <cell r="BD38">
            <v>-14479210</v>
          </cell>
          <cell r="BE38">
            <v>-12382245</v>
          </cell>
          <cell r="BF38">
            <v>-195651093</v>
          </cell>
          <cell r="BG38">
            <v>0</v>
          </cell>
          <cell r="BH38">
            <v>-194430795</v>
          </cell>
          <cell r="BI38">
            <v>-192474301</v>
          </cell>
          <cell r="BJ38">
            <v>-202867389.40000001</v>
          </cell>
          <cell r="BK38">
            <v>0</v>
          </cell>
        </row>
        <row r="39">
          <cell r="C39" t="str">
            <v>2.0.2</v>
          </cell>
          <cell r="D39">
            <v>0</v>
          </cell>
          <cell r="E39">
            <v>2021917</v>
          </cell>
          <cell r="F39">
            <v>2021917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230466844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-136322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-3079571241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-1888144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</row>
        <row r="40">
          <cell r="C40" t="str">
            <v>2.0.20</v>
          </cell>
          <cell r="D40" t="str">
            <v>European Agricultural Fund for Rural Development (EAFRD)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5284950000</v>
          </cell>
          <cell r="J40">
            <v>18169779129</v>
          </cell>
          <cell r="K40">
            <v>18677297019</v>
          </cell>
          <cell r="L40">
            <v>14364015785</v>
          </cell>
          <cell r="M40">
            <v>14380313672</v>
          </cell>
          <cell r="N40">
            <v>14727262537</v>
          </cell>
          <cell r="O40">
            <v>14708662347</v>
          </cell>
          <cell r="P40">
            <v>0</v>
          </cell>
          <cell r="Q40">
            <v>5280135938</v>
          </cell>
          <cell r="R40">
            <v>18166185486</v>
          </cell>
          <cell r="S40">
            <v>18674838142</v>
          </cell>
          <cell r="T40">
            <v>14359999268</v>
          </cell>
          <cell r="U40">
            <v>14379698755</v>
          </cell>
          <cell r="V40">
            <v>14725343342</v>
          </cell>
          <cell r="W40">
            <v>0</v>
          </cell>
          <cell r="X40">
            <v>0</v>
          </cell>
          <cell r="Y40">
            <v>1396093</v>
          </cell>
          <cell r="Z40">
            <v>5265080272</v>
          </cell>
          <cell r="AA40">
            <v>7825902963</v>
          </cell>
          <cell r="AB40">
            <v>10965325549</v>
          </cell>
          <cell r="AC40">
            <v>12057496656</v>
          </cell>
          <cell r="AD40">
            <v>13507617801</v>
          </cell>
          <cell r="AE40">
            <v>13141223550</v>
          </cell>
          <cell r="AF40">
            <v>14712390633</v>
          </cell>
          <cell r="AG40">
            <v>13101315340</v>
          </cell>
          <cell r="AH40">
            <v>8020788431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-1757994</v>
          </cell>
          <cell r="AO40">
            <v>-2527055</v>
          </cell>
          <cell r="AP40">
            <v>-1581781</v>
          </cell>
          <cell r="AQ40">
            <v>-1042602.41</v>
          </cell>
          <cell r="AR40">
            <v>-1500149.2</v>
          </cell>
          <cell r="AS40">
            <v>-11360948.17</v>
          </cell>
          <cell r="AT40">
            <v>-17358705</v>
          </cell>
          <cell r="AU40">
            <v>3079571241</v>
          </cell>
          <cell r="AV40">
            <v>-933</v>
          </cell>
          <cell r="AW40">
            <v>0</v>
          </cell>
          <cell r="AX40">
            <v>-105852709</v>
          </cell>
          <cell r="AY40">
            <v>-137144425</v>
          </cell>
          <cell r="AZ40">
            <v>-375676321</v>
          </cell>
          <cell r="BA40">
            <v>-623429211.10000002</v>
          </cell>
          <cell r="BB40">
            <v>0</v>
          </cell>
          <cell r="BC40">
            <v>0</v>
          </cell>
          <cell r="BD40">
            <v>1968699211</v>
          </cell>
          <cell r="BE40">
            <v>-1810742</v>
          </cell>
          <cell r="BF40">
            <v>-1108935</v>
          </cell>
          <cell r="BG40">
            <v>0</v>
          </cell>
          <cell r="BH40">
            <v>-2097261</v>
          </cell>
          <cell r="BI40">
            <v>-2060725.6</v>
          </cell>
          <cell r="BJ40">
            <v>-2167204.75</v>
          </cell>
          <cell r="BK40">
            <v>0</v>
          </cell>
        </row>
        <row r="41">
          <cell r="C41" t="str">
            <v>2.0.31</v>
          </cell>
          <cell r="D41" t="str">
            <v>European Maritime and Fisheries Fund (EMFF)</v>
          </cell>
          <cell r="E41">
            <v>247752879</v>
          </cell>
          <cell r="F41">
            <v>247752879</v>
          </cell>
          <cell r="G41">
            <v>245972034</v>
          </cell>
          <cell r="H41">
            <v>0</v>
          </cell>
          <cell r="I41">
            <v>120255626</v>
          </cell>
          <cell r="J41">
            <v>1622612857</v>
          </cell>
          <cell r="K41">
            <v>891356152</v>
          </cell>
          <cell r="L41">
            <v>911742078</v>
          </cell>
          <cell r="M41">
            <v>933361233</v>
          </cell>
          <cell r="N41">
            <v>942055332</v>
          </cell>
          <cell r="O41">
            <v>960254138</v>
          </cell>
          <cell r="P41">
            <v>0</v>
          </cell>
          <cell r="Q41">
            <v>118319697.7</v>
          </cell>
          <cell r="R41">
            <v>1621609899</v>
          </cell>
          <cell r="S41">
            <v>888302120.70000005</v>
          </cell>
          <cell r="T41">
            <v>909179155</v>
          </cell>
          <cell r="U41">
            <v>931450345</v>
          </cell>
          <cell r="V41">
            <v>939845667.29999995</v>
          </cell>
          <cell r="W41">
            <v>0</v>
          </cell>
          <cell r="X41">
            <v>0</v>
          </cell>
          <cell r="Y41">
            <v>65707528</v>
          </cell>
          <cell r="Z41">
            <v>213636739</v>
          </cell>
          <cell r="AA41">
            <v>254490301</v>
          </cell>
          <cell r="AB41">
            <v>377686944</v>
          </cell>
          <cell r="AC41">
            <v>483298572</v>
          </cell>
          <cell r="AD41">
            <v>651718806</v>
          </cell>
          <cell r="AE41">
            <v>769899000</v>
          </cell>
          <cell r="AF41">
            <v>700673463</v>
          </cell>
          <cell r="AG41">
            <v>695835031</v>
          </cell>
          <cell r="AH41">
            <v>668679660</v>
          </cell>
          <cell r="AI41">
            <v>647007889</v>
          </cell>
          <cell r="AJ41">
            <v>721978398</v>
          </cell>
          <cell r="AK41">
            <v>63617346</v>
          </cell>
          <cell r="AL41">
            <v>0</v>
          </cell>
          <cell r="AM41">
            <v>-24278146</v>
          </cell>
          <cell r="AN41">
            <v>-33289036</v>
          </cell>
          <cell r="AO41">
            <v>-34891654</v>
          </cell>
          <cell r="AP41">
            <v>-29770371</v>
          </cell>
          <cell r="AQ41">
            <v>-24304286.260000002</v>
          </cell>
          <cell r="AR41">
            <v>-71463946.069999993</v>
          </cell>
          <cell r="AS41">
            <v>-2203778.96</v>
          </cell>
          <cell r="AT41">
            <v>-33422643</v>
          </cell>
          <cell r="AU41">
            <v>0</v>
          </cell>
          <cell r="AV41">
            <v>0</v>
          </cell>
          <cell r="AW41">
            <v>0</v>
          </cell>
          <cell r="AX41">
            <v>128588072</v>
          </cell>
          <cell r="AY41">
            <v>-128716161</v>
          </cell>
          <cell r="AZ41">
            <v>-49736006</v>
          </cell>
          <cell r="BA41">
            <v>823463.47</v>
          </cell>
          <cell r="BB41">
            <v>0</v>
          </cell>
          <cell r="BC41">
            <v>-1200047</v>
          </cell>
          <cell r="BD41">
            <v>27339626</v>
          </cell>
          <cell r="BE41">
            <v>-814790</v>
          </cell>
          <cell r="BF41">
            <v>-264211</v>
          </cell>
          <cell r="BG41">
            <v>0</v>
          </cell>
          <cell r="BH41">
            <v>-761626</v>
          </cell>
          <cell r="BI41">
            <v>-664721.23</v>
          </cell>
          <cell r="BJ41">
            <v>-690027.84</v>
          </cell>
          <cell r="BK41">
            <v>0</v>
          </cell>
        </row>
        <row r="42">
          <cell r="C42" t="str">
            <v>2.0.32</v>
          </cell>
          <cell r="D42" t="str">
            <v>Sustainable Fisheries Partnership Agreements (SFPAs) and compulsory contributions to Regional Fisheries Management Organisations (RFMOs) and to other international organisations</v>
          </cell>
          <cell r="E42">
            <v>13621044</v>
          </cell>
          <cell r="F42">
            <v>13621044</v>
          </cell>
          <cell r="G42">
            <v>13621044</v>
          </cell>
          <cell r="H42">
            <v>0</v>
          </cell>
          <cell r="I42">
            <v>80030000</v>
          </cell>
          <cell r="J42">
            <v>135600235</v>
          </cell>
          <cell r="K42">
            <v>135670000</v>
          </cell>
          <cell r="L42">
            <v>127026210</v>
          </cell>
          <cell r="M42">
            <v>94535000</v>
          </cell>
          <cell r="N42">
            <v>147899978</v>
          </cell>
          <cell r="O42">
            <v>147999978</v>
          </cell>
          <cell r="P42">
            <v>0</v>
          </cell>
          <cell r="Q42">
            <v>76669622.299999997</v>
          </cell>
          <cell r="R42">
            <v>134666066</v>
          </cell>
          <cell r="S42">
            <v>133440953.3</v>
          </cell>
          <cell r="T42">
            <v>125417766</v>
          </cell>
          <cell r="U42">
            <v>94312164</v>
          </cell>
          <cell r="V42">
            <v>147899978</v>
          </cell>
          <cell r="W42">
            <v>0</v>
          </cell>
          <cell r="X42">
            <v>0</v>
          </cell>
          <cell r="Y42">
            <v>72965783</v>
          </cell>
          <cell r="Z42">
            <v>124823566</v>
          </cell>
          <cell r="AA42">
            <v>122607337</v>
          </cell>
          <cell r="AB42">
            <v>135230992</v>
          </cell>
          <cell r="AC42">
            <v>97447429</v>
          </cell>
          <cell r="AD42">
            <v>142086169</v>
          </cell>
          <cell r="AE42">
            <v>142531978</v>
          </cell>
          <cell r="AF42">
            <v>23316313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-1996044</v>
          </cell>
          <cell r="AN42">
            <v>0</v>
          </cell>
          <cell r="AO42">
            <v>-4500000</v>
          </cell>
          <cell r="AP42">
            <v>-81116</v>
          </cell>
          <cell r="AQ42">
            <v>-2779000</v>
          </cell>
          <cell r="AR42">
            <v>-1567532</v>
          </cell>
          <cell r="AS42">
            <v>-1699972.84</v>
          </cell>
          <cell r="AT42">
            <v>-1699972</v>
          </cell>
          <cell r="AU42">
            <v>-546340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C43" t="str">
            <v>2.0.4</v>
          </cell>
          <cell r="D43" t="str">
            <v>Environment and climate action (LIFE)</v>
          </cell>
          <cell r="E43">
            <v>16313835</v>
          </cell>
          <cell r="F43">
            <v>16313835</v>
          </cell>
          <cell r="G43">
            <v>0</v>
          </cell>
          <cell r="H43">
            <v>0</v>
          </cell>
          <cell r="I43">
            <v>403367579</v>
          </cell>
          <cell r="J43">
            <v>435097000</v>
          </cell>
          <cell r="K43">
            <v>462796000</v>
          </cell>
          <cell r="L43">
            <v>493737000</v>
          </cell>
          <cell r="M43">
            <v>522797000</v>
          </cell>
          <cell r="N43">
            <v>559086000</v>
          </cell>
          <cell r="O43">
            <v>589563000</v>
          </cell>
          <cell r="P43">
            <v>0</v>
          </cell>
          <cell r="Q43">
            <v>402491264.39999998</v>
          </cell>
          <cell r="R43">
            <v>434496557.19999999</v>
          </cell>
          <cell r="S43">
            <v>462630402.10000002</v>
          </cell>
          <cell r="T43">
            <v>493675160</v>
          </cell>
          <cell r="U43">
            <v>522491117</v>
          </cell>
          <cell r="V43">
            <v>559071101.60000002</v>
          </cell>
          <cell r="W43">
            <v>0</v>
          </cell>
          <cell r="X43">
            <v>0</v>
          </cell>
          <cell r="Y43">
            <v>34540219</v>
          </cell>
          <cell r="Z43">
            <v>138777998</v>
          </cell>
          <cell r="AA43">
            <v>174599999</v>
          </cell>
          <cell r="AB43">
            <v>225650579</v>
          </cell>
          <cell r="AC43">
            <v>255260756</v>
          </cell>
          <cell r="AD43">
            <v>318885403</v>
          </cell>
          <cell r="AE43">
            <v>347881613</v>
          </cell>
          <cell r="AF43">
            <v>333327484</v>
          </cell>
          <cell r="AG43">
            <v>300226625</v>
          </cell>
          <cell r="AH43">
            <v>294052007</v>
          </cell>
          <cell r="AI43">
            <v>309162115</v>
          </cell>
          <cell r="AJ43">
            <v>272340509</v>
          </cell>
          <cell r="AK43">
            <v>438871374</v>
          </cell>
          <cell r="AL43">
            <v>0</v>
          </cell>
          <cell r="AM43">
            <v>-391513</v>
          </cell>
          <cell r="AN43">
            <v>-1479886</v>
          </cell>
          <cell r="AO43">
            <v>-937769</v>
          </cell>
          <cell r="AP43">
            <v>-1010680</v>
          </cell>
          <cell r="AQ43">
            <v>-1796455.19</v>
          </cell>
          <cell r="AR43">
            <v>-2735307.69</v>
          </cell>
          <cell r="AS43">
            <v>-9003353.3499999996</v>
          </cell>
          <cell r="AT43">
            <v>-29386653</v>
          </cell>
          <cell r="AU43">
            <v>4389980</v>
          </cell>
          <cell r="AV43">
            <v>2799714</v>
          </cell>
          <cell r="AW43">
            <v>1942736</v>
          </cell>
          <cell r="AX43">
            <v>5955130</v>
          </cell>
          <cell r="AY43">
            <v>-549116</v>
          </cell>
          <cell r="AZ43">
            <v>4868771</v>
          </cell>
          <cell r="BA43">
            <v>-11581.46</v>
          </cell>
          <cell r="BB43">
            <v>0</v>
          </cell>
          <cell r="BC43">
            <v>-15922321</v>
          </cell>
          <cell r="BD43">
            <v>-14479283</v>
          </cell>
          <cell r="BE43">
            <v>-3233564</v>
          </cell>
          <cell r="BF43">
            <v>-3687482</v>
          </cell>
          <cell r="BG43">
            <v>0</v>
          </cell>
          <cell r="BH43">
            <v>-4304433</v>
          </cell>
          <cell r="BI43">
            <v>-3677676.67</v>
          </cell>
          <cell r="BJ43">
            <v>-4261084.82</v>
          </cell>
          <cell r="BK43">
            <v>0</v>
          </cell>
        </row>
        <row r="44">
          <cell r="C44" t="str">
            <v>2.0.DAG</v>
          </cell>
          <cell r="D44" t="str">
            <v>Decentralised agencies</v>
          </cell>
          <cell r="E44">
            <v>3000001</v>
          </cell>
          <cell r="F44">
            <v>3000001</v>
          </cell>
          <cell r="G44">
            <v>3000001</v>
          </cell>
          <cell r="H44">
            <v>0</v>
          </cell>
          <cell r="I44">
            <v>51636237</v>
          </cell>
          <cell r="J44">
            <v>50447726</v>
          </cell>
          <cell r="K44">
            <v>46116362</v>
          </cell>
          <cell r="L44">
            <v>54216942</v>
          </cell>
          <cell r="M44">
            <v>59584318</v>
          </cell>
          <cell r="N44">
            <v>61342139</v>
          </cell>
          <cell r="O44">
            <v>67921020</v>
          </cell>
          <cell r="P44">
            <v>0</v>
          </cell>
          <cell r="Q44">
            <v>51636237</v>
          </cell>
          <cell r="R44">
            <v>50447726</v>
          </cell>
          <cell r="S44">
            <v>46109082</v>
          </cell>
          <cell r="T44">
            <v>54216942</v>
          </cell>
          <cell r="U44">
            <v>59584318</v>
          </cell>
          <cell r="V44">
            <v>59198449.189999998</v>
          </cell>
          <cell r="W44">
            <v>0</v>
          </cell>
          <cell r="X44">
            <v>0</v>
          </cell>
          <cell r="Y44">
            <v>51636237</v>
          </cell>
          <cell r="Z44">
            <v>50447726</v>
          </cell>
          <cell r="AA44">
            <v>46109082</v>
          </cell>
          <cell r="AB44">
            <v>54216268</v>
          </cell>
          <cell r="AC44">
            <v>59584318</v>
          </cell>
          <cell r="AD44">
            <v>59198448</v>
          </cell>
          <cell r="AE44">
            <v>67921020</v>
          </cell>
          <cell r="AF44">
            <v>3000000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-1</v>
          </cell>
          <cell r="AN44">
            <v>0</v>
          </cell>
          <cell r="AO44">
            <v>0</v>
          </cell>
          <cell r="AP44">
            <v>0</v>
          </cell>
          <cell r="AQ44">
            <v>-0.06</v>
          </cell>
          <cell r="AR44">
            <v>-0.09</v>
          </cell>
          <cell r="AS44">
            <v>0</v>
          </cell>
          <cell r="AT44">
            <v>-1</v>
          </cell>
          <cell r="AU44">
            <v>0</v>
          </cell>
          <cell r="AV44">
            <v>0</v>
          </cell>
          <cell r="AW44">
            <v>0</v>
          </cell>
          <cell r="AX44">
            <v>-674</v>
          </cell>
          <cell r="AY44">
            <v>0</v>
          </cell>
          <cell r="AZ44">
            <v>0</v>
          </cell>
          <cell r="BA44">
            <v>132135.17000000001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C45" t="str">
            <v>2.0.OTH</v>
          </cell>
          <cell r="D45" t="str">
            <v>Other actions and measures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30000000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30000000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24000000</v>
          </cell>
          <cell r="AB45">
            <v>0</v>
          </cell>
          <cell r="AC45">
            <v>6000000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</row>
        <row r="46">
          <cell r="C46" t="str">
            <v>2.0.PPPA</v>
          </cell>
          <cell r="D46" t="str">
            <v>Pilot projects and preparatory actions</v>
          </cell>
          <cell r="E46">
            <v>45163288</v>
          </cell>
          <cell r="F46">
            <v>45163288</v>
          </cell>
          <cell r="G46">
            <v>45163288</v>
          </cell>
          <cell r="H46">
            <v>0</v>
          </cell>
          <cell r="I46">
            <v>18509190</v>
          </cell>
          <cell r="J46">
            <v>2900000</v>
          </cell>
          <cell r="K46">
            <v>7900000</v>
          </cell>
          <cell r="L46">
            <v>7700000</v>
          </cell>
          <cell r="M46">
            <v>15600000</v>
          </cell>
          <cell r="N46">
            <v>12485000</v>
          </cell>
          <cell r="O46">
            <v>22514881</v>
          </cell>
          <cell r="P46">
            <v>0</v>
          </cell>
          <cell r="Q46">
            <v>17494342.710000001</v>
          </cell>
          <cell r="R46">
            <v>2614678.35</v>
          </cell>
          <cell r="S46">
            <v>7818790</v>
          </cell>
          <cell r="T46">
            <v>6998700</v>
          </cell>
          <cell r="U46">
            <v>15599980</v>
          </cell>
          <cell r="V46">
            <v>12449622</v>
          </cell>
          <cell r="W46">
            <v>0</v>
          </cell>
          <cell r="X46">
            <v>0</v>
          </cell>
          <cell r="Y46">
            <v>16670462</v>
          </cell>
          <cell r="Z46">
            <v>13411834</v>
          </cell>
          <cell r="AA46">
            <v>11607430</v>
          </cell>
          <cell r="AB46">
            <v>7210860</v>
          </cell>
          <cell r="AC46">
            <v>7876367</v>
          </cell>
          <cell r="AD46">
            <v>6068414</v>
          </cell>
          <cell r="AE46">
            <v>20003480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-3280911</v>
          </cell>
          <cell r="AN46">
            <v>-801235</v>
          </cell>
          <cell r="AO46">
            <v>-6003078</v>
          </cell>
          <cell r="AP46">
            <v>-585601</v>
          </cell>
          <cell r="AQ46">
            <v>-132693.47</v>
          </cell>
          <cell r="AR46">
            <v>-3096466.06</v>
          </cell>
          <cell r="AS46">
            <v>-544376.09</v>
          </cell>
          <cell r="AT46">
            <v>0</v>
          </cell>
          <cell r="AU46">
            <v>-126226</v>
          </cell>
          <cell r="AV46">
            <v>-584</v>
          </cell>
          <cell r="AW46">
            <v>0</v>
          </cell>
          <cell r="AX46">
            <v>-20000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-264271</v>
          </cell>
          <cell r="BD46">
            <v>0</v>
          </cell>
          <cell r="BE46">
            <v>268696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C47" t="str">
            <v>2.0.SPEC</v>
          </cell>
          <cell r="D47" t="str">
            <v>Actions financed under the prerogatives of the Commission and specific competences conferred to the Commission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8030000</v>
          </cell>
          <cell r="J47">
            <v>5303400</v>
          </cell>
          <cell r="K47">
            <v>300000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8030000</v>
          </cell>
          <cell r="R47">
            <v>4278154.79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2973552</v>
          </cell>
          <cell r="Z47">
            <v>8405850</v>
          </cell>
          <cell r="AA47">
            <v>537838</v>
          </cell>
          <cell r="AB47">
            <v>0</v>
          </cell>
          <cell r="AC47">
            <v>0</v>
          </cell>
          <cell r="AD47">
            <v>173191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-797</v>
          </cell>
          <cell r="AO47">
            <v>-23232</v>
          </cell>
          <cell r="AP47">
            <v>0</v>
          </cell>
          <cell r="AQ47">
            <v>0</v>
          </cell>
          <cell r="AR47">
            <v>-193694.77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</row>
        <row r="48">
          <cell r="C48" t="str">
            <v>3.0.1</v>
          </cell>
          <cell r="D48" t="str">
            <v>Asylum, Migration and Integration Fund (AMF)</v>
          </cell>
          <cell r="E48">
            <v>1073777</v>
          </cell>
          <cell r="F48">
            <v>1073777</v>
          </cell>
          <cell r="G48">
            <v>0</v>
          </cell>
          <cell r="H48">
            <v>0</v>
          </cell>
          <cell r="I48">
            <v>230546181</v>
          </cell>
          <cell r="J48">
            <v>623008567</v>
          </cell>
          <cell r="K48">
            <v>1798969494</v>
          </cell>
          <cell r="L48">
            <v>1614487999</v>
          </cell>
          <cell r="M48">
            <v>747865629.89999998</v>
          </cell>
          <cell r="N48">
            <v>1190990770</v>
          </cell>
          <cell r="O48">
            <v>1228690284</v>
          </cell>
          <cell r="P48">
            <v>0</v>
          </cell>
          <cell r="Q48">
            <v>229541105.80000001</v>
          </cell>
          <cell r="R48">
            <v>622616228.29999995</v>
          </cell>
          <cell r="S48">
            <v>1798965509</v>
          </cell>
          <cell r="T48">
            <v>1614108956</v>
          </cell>
          <cell r="U48">
            <v>747261637</v>
          </cell>
          <cell r="V48">
            <v>1183790005</v>
          </cell>
          <cell r="W48">
            <v>0</v>
          </cell>
          <cell r="X48">
            <v>0</v>
          </cell>
          <cell r="Y48">
            <v>6312441</v>
          </cell>
          <cell r="Z48">
            <v>268679600</v>
          </cell>
          <cell r="AA48">
            <v>889817933</v>
          </cell>
          <cell r="AB48">
            <v>570010667</v>
          </cell>
          <cell r="AC48">
            <v>697393100</v>
          </cell>
          <cell r="AD48">
            <v>875312444</v>
          </cell>
          <cell r="AE48">
            <v>952604244</v>
          </cell>
          <cell r="AF48">
            <v>938460473</v>
          </cell>
          <cell r="AG48">
            <v>488175210</v>
          </cell>
          <cell r="AH48">
            <v>338928019</v>
          </cell>
          <cell r="AI48">
            <v>248111584</v>
          </cell>
          <cell r="AJ48">
            <v>103858805</v>
          </cell>
          <cell r="AK48">
            <v>98864391</v>
          </cell>
          <cell r="AL48">
            <v>0</v>
          </cell>
          <cell r="AM48">
            <v>-123556</v>
          </cell>
          <cell r="AN48">
            <v>-115436</v>
          </cell>
          <cell r="AO48">
            <v>-424248</v>
          </cell>
          <cell r="AP48">
            <v>-169806</v>
          </cell>
          <cell r="AQ48">
            <v>-563049.39</v>
          </cell>
          <cell r="AR48">
            <v>-39385757.939999998</v>
          </cell>
          <cell r="AS48">
            <v>-735517.64</v>
          </cell>
          <cell r="AT48">
            <v>-759592206</v>
          </cell>
          <cell r="AU48">
            <v>0</v>
          </cell>
          <cell r="AV48">
            <v>-269252</v>
          </cell>
          <cell r="AW48">
            <v>9555077</v>
          </cell>
          <cell r="AX48">
            <v>5824996</v>
          </cell>
          <cell r="AY48">
            <v>199640</v>
          </cell>
          <cell r="AZ48">
            <v>1838331</v>
          </cell>
          <cell r="BA48">
            <v>-950088.94</v>
          </cell>
          <cell r="BB48">
            <v>0</v>
          </cell>
          <cell r="BC48">
            <v>-950221</v>
          </cell>
          <cell r="BD48">
            <v>183805649</v>
          </cell>
          <cell r="BE48">
            <v>-1317278</v>
          </cell>
          <cell r="BF48">
            <v>-1819691</v>
          </cell>
          <cell r="BG48">
            <v>0</v>
          </cell>
          <cell r="BH48">
            <v>204954246</v>
          </cell>
          <cell r="BI48">
            <v>-892184.3</v>
          </cell>
          <cell r="BJ48">
            <v>-1415898.67</v>
          </cell>
          <cell r="BK48">
            <v>0</v>
          </cell>
        </row>
        <row r="49">
          <cell r="C49" t="str">
            <v>3.0.10</v>
          </cell>
          <cell r="D49" t="str">
            <v>Consumer</v>
          </cell>
          <cell r="E49">
            <v>724751</v>
          </cell>
          <cell r="F49">
            <v>724751</v>
          </cell>
          <cell r="G49">
            <v>0</v>
          </cell>
          <cell r="H49">
            <v>0</v>
          </cell>
          <cell r="I49">
            <v>24053000</v>
          </cell>
          <cell r="J49">
            <v>24657000</v>
          </cell>
          <cell r="K49">
            <v>25893000</v>
          </cell>
          <cell r="L49">
            <v>26923000</v>
          </cell>
          <cell r="M49">
            <v>27966000</v>
          </cell>
          <cell r="N49">
            <v>29255000</v>
          </cell>
          <cell r="O49">
            <v>29685000</v>
          </cell>
          <cell r="P49">
            <v>0</v>
          </cell>
          <cell r="Q49">
            <v>23967339.920000002</v>
          </cell>
          <cell r="R49">
            <v>24442641.16</v>
          </cell>
          <cell r="S49">
            <v>25740468.309999999</v>
          </cell>
          <cell r="T49">
            <v>26828116</v>
          </cell>
          <cell r="U49">
            <v>27965439</v>
          </cell>
          <cell r="V49">
            <v>29243548.890000001</v>
          </cell>
          <cell r="W49">
            <v>0</v>
          </cell>
          <cell r="X49">
            <v>0</v>
          </cell>
          <cell r="Y49">
            <v>3821885</v>
          </cell>
          <cell r="Z49">
            <v>13848691</v>
          </cell>
          <cell r="AA49">
            <v>22486324</v>
          </cell>
          <cell r="AB49">
            <v>20029841</v>
          </cell>
          <cell r="AC49">
            <v>27797142</v>
          </cell>
          <cell r="AD49">
            <v>26611934</v>
          </cell>
          <cell r="AE49">
            <v>27685000</v>
          </cell>
          <cell r="AF49">
            <v>19375101</v>
          </cell>
          <cell r="AG49">
            <v>14546428</v>
          </cell>
          <cell r="AH49">
            <v>5519420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-172034</v>
          </cell>
          <cell r="AN49">
            <v>-535520</v>
          </cell>
          <cell r="AO49">
            <v>-952121</v>
          </cell>
          <cell r="AP49">
            <v>-353383</v>
          </cell>
          <cell r="AQ49">
            <v>-892800.7</v>
          </cell>
          <cell r="AR49">
            <v>-667015.9</v>
          </cell>
          <cell r="AS49">
            <v>-1406153.14</v>
          </cell>
          <cell r="AT49">
            <v>-4267325</v>
          </cell>
          <cell r="AU49">
            <v>614119</v>
          </cell>
          <cell r="AV49">
            <v>291180</v>
          </cell>
          <cell r="AW49">
            <v>169570</v>
          </cell>
          <cell r="AX49">
            <v>170393</v>
          </cell>
          <cell r="AY49">
            <v>122891</v>
          </cell>
          <cell r="AZ49">
            <v>149225</v>
          </cell>
          <cell r="BA49">
            <v>158688.41</v>
          </cell>
          <cell r="BB49">
            <v>0</v>
          </cell>
          <cell r="BC49">
            <v>-552717</v>
          </cell>
          <cell r="BD49">
            <v>-609346</v>
          </cell>
          <cell r="BE49">
            <v>-86791</v>
          </cell>
          <cell r="BF49">
            <v>-459624</v>
          </cell>
          <cell r="BG49">
            <v>0</v>
          </cell>
          <cell r="BH49">
            <v>-342940</v>
          </cell>
          <cell r="BI49">
            <v>-498868.04</v>
          </cell>
          <cell r="BJ49">
            <v>-590145.18000000005</v>
          </cell>
          <cell r="BK49">
            <v>0</v>
          </cell>
        </row>
        <row r="50">
          <cell r="C50" t="str">
            <v>3.0.11</v>
          </cell>
          <cell r="D50" t="str">
            <v>Creative Europe</v>
          </cell>
          <cell r="E50">
            <v>881624</v>
          </cell>
          <cell r="F50">
            <v>844516</v>
          </cell>
          <cell r="G50">
            <v>0</v>
          </cell>
          <cell r="H50">
            <v>0</v>
          </cell>
          <cell r="I50">
            <v>181935182</v>
          </cell>
          <cell r="J50">
            <v>177674000</v>
          </cell>
          <cell r="K50">
            <v>191813000</v>
          </cell>
          <cell r="L50">
            <v>208912000</v>
          </cell>
          <cell r="M50">
            <v>230386000</v>
          </cell>
          <cell r="N50">
            <v>244843000</v>
          </cell>
          <cell r="O50">
            <v>251914000</v>
          </cell>
          <cell r="P50">
            <v>0</v>
          </cell>
          <cell r="Q50">
            <v>181655688.30000001</v>
          </cell>
          <cell r="R50">
            <v>177631161.80000001</v>
          </cell>
          <cell r="S50">
            <v>191894382.40000001</v>
          </cell>
          <cell r="T50">
            <v>208911268</v>
          </cell>
          <cell r="U50">
            <v>230381492</v>
          </cell>
          <cell r="V50">
            <v>244843000</v>
          </cell>
          <cell r="W50">
            <v>0</v>
          </cell>
          <cell r="X50">
            <v>0</v>
          </cell>
          <cell r="Y50">
            <v>105967474</v>
          </cell>
          <cell r="Z50">
            <v>124502014</v>
          </cell>
          <cell r="AA50">
            <v>164596150</v>
          </cell>
          <cell r="AB50">
            <v>184576506</v>
          </cell>
          <cell r="AC50">
            <v>194257517</v>
          </cell>
          <cell r="AD50">
            <v>201747370</v>
          </cell>
          <cell r="AE50">
            <v>215404000</v>
          </cell>
          <cell r="AF50">
            <v>100974574</v>
          </cell>
          <cell r="AG50">
            <v>97192231</v>
          </cell>
          <cell r="AH50">
            <v>52197113</v>
          </cell>
          <cell r="AI50">
            <v>7207626</v>
          </cell>
          <cell r="AJ50">
            <v>1529279</v>
          </cell>
          <cell r="AK50">
            <v>0</v>
          </cell>
          <cell r="AL50">
            <v>0</v>
          </cell>
          <cell r="AM50">
            <v>-235807</v>
          </cell>
          <cell r="AN50">
            <v>-1148033</v>
          </cell>
          <cell r="AO50">
            <v>-2717717</v>
          </cell>
          <cell r="AP50">
            <v>-6400827</v>
          </cell>
          <cell r="AQ50">
            <v>-5336159.13</v>
          </cell>
          <cell r="AR50">
            <v>-7858557.0099999998</v>
          </cell>
          <cell r="AS50">
            <v>-3821861.08</v>
          </cell>
          <cell r="AT50">
            <v>-31463060</v>
          </cell>
          <cell r="AU50">
            <v>3998163</v>
          </cell>
          <cell r="AV50">
            <v>3598663</v>
          </cell>
          <cell r="AW50">
            <v>1942898</v>
          </cell>
          <cell r="AX50">
            <v>1479327</v>
          </cell>
          <cell r="AY50">
            <v>1204375</v>
          </cell>
          <cell r="AZ50">
            <v>2726187</v>
          </cell>
          <cell r="BA50">
            <v>-972339.02</v>
          </cell>
          <cell r="BB50">
            <v>0</v>
          </cell>
          <cell r="BC50">
            <v>-608708</v>
          </cell>
          <cell r="BD50">
            <v>-1605412</v>
          </cell>
          <cell r="BE50">
            <v>-1538312</v>
          </cell>
          <cell r="BF50">
            <v>-1768955</v>
          </cell>
          <cell r="BG50">
            <v>0</v>
          </cell>
          <cell r="BH50">
            <v>-1800770</v>
          </cell>
          <cell r="BI50">
            <v>-1196868.21</v>
          </cell>
          <cell r="BJ50">
            <v>-1657975.97</v>
          </cell>
          <cell r="BK50">
            <v>0</v>
          </cell>
        </row>
        <row r="51">
          <cell r="C51" t="str">
            <v>3.0.12</v>
          </cell>
          <cell r="D51" t="str">
            <v>Instrument for Emergency Support within the Union (IES)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249000000</v>
          </cell>
          <cell r="L51">
            <v>198800000</v>
          </cell>
          <cell r="M51">
            <v>199450000</v>
          </cell>
          <cell r="N51">
            <v>250000</v>
          </cell>
          <cell r="O51">
            <v>2700000000</v>
          </cell>
          <cell r="P51">
            <v>0</v>
          </cell>
          <cell r="Q51">
            <v>0</v>
          </cell>
          <cell r="R51">
            <v>0</v>
          </cell>
          <cell r="S51">
            <v>247958053.19999999</v>
          </cell>
          <cell r="T51">
            <v>198542674</v>
          </cell>
          <cell r="U51">
            <v>199450000</v>
          </cell>
          <cell r="V51">
            <v>130000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139026878</v>
          </cell>
          <cell r="AB51">
            <v>217387807</v>
          </cell>
          <cell r="AC51">
            <v>226265264</v>
          </cell>
          <cell r="AD51">
            <v>59908495</v>
          </cell>
          <cell r="AE51">
            <v>1380000000</v>
          </cell>
          <cell r="AF51">
            <v>790000000</v>
          </cell>
          <cell r="AG51">
            <v>265000000</v>
          </cell>
          <cell r="AH51">
            <v>265000000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-61175</v>
          </cell>
          <cell r="AQ51">
            <v>-1243400.3</v>
          </cell>
          <cell r="AR51">
            <v>-36782.94</v>
          </cell>
          <cell r="AS51">
            <v>-2188236.23</v>
          </cell>
          <cell r="AT51">
            <v>-2136526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-14400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-140411</v>
          </cell>
          <cell r="BG51">
            <v>0</v>
          </cell>
          <cell r="BH51">
            <v>-149476</v>
          </cell>
          <cell r="BI51">
            <v>-79966.929999999993</v>
          </cell>
          <cell r="BJ51">
            <v>-65865.84</v>
          </cell>
          <cell r="BK51">
            <v>0</v>
          </cell>
        </row>
        <row r="52">
          <cell r="C52" t="str">
            <v>3.0.2</v>
          </cell>
          <cell r="D52" t="str">
            <v>Internal Security Fund</v>
          </cell>
          <cell r="E52">
            <v>1027063</v>
          </cell>
          <cell r="F52">
            <v>1027063</v>
          </cell>
          <cell r="G52">
            <v>0</v>
          </cell>
          <cell r="H52">
            <v>0</v>
          </cell>
          <cell r="I52">
            <v>129467662</v>
          </cell>
          <cell r="J52">
            <v>551516784</v>
          </cell>
          <cell r="K52">
            <v>735533867</v>
          </cell>
          <cell r="L52">
            <v>734925320</v>
          </cell>
          <cell r="M52">
            <v>729730071.39999998</v>
          </cell>
          <cell r="N52">
            <v>533079485.39999998</v>
          </cell>
          <cell r="O52">
            <v>550869068</v>
          </cell>
          <cell r="P52">
            <v>0</v>
          </cell>
          <cell r="Q52">
            <v>127914924</v>
          </cell>
          <cell r="R52">
            <v>551059924.39999998</v>
          </cell>
          <cell r="S52">
            <v>735328007.60000002</v>
          </cell>
          <cell r="T52">
            <v>734623008</v>
          </cell>
          <cell r="U52">
            <v>729092797</v>
          </cell>
          <cell r="V52">
            <v>533070328.69999999</v>
          </cell>
          <cell r="W52">
            <v>0</v>
          </cell>
          <cell r="X52">
            <v>0</v>
          </cell>
          <cell r="Y52">
            <v>1239257</v>
          </cell>
          <cell r="Z52">
            <v>174708047</v>
          </cell>
          <cell r="AA52">
            <v>300290908</v>
          </cell>
          <cell r="AB52">
            <v>325476543</v>
          </cell>
          <cell r="AC52">
            <v>423129161</v>
          </cell>
          <cell r="AD52">
            <v>501804783</v>
          </cell>
          <cell r="AE52">
            <v>670402449</v>
          </cell>
          <cell r="AF52">
            <v>527307809</v>
          </cell>
          <cell r="AG52">
            <v>417773820</v>
          </cell>
          <cell r="AH52">
            <v>233614139</v>
          </cell>
          <cell r="AI52">
            <v>83478739</v>
          </cell>
          <cell r="AJ52">
            <v>25100615</v>
          </cell>
          <cell r="AK52">
            <v>25100616</v>
          </cell>
          <cell r="AL52">
            <v>0</v>
          </cell>
          <cell r="AM52">
            <v>-133203</v>
          </cell>
          <cell r="AN52">
            <v>-98514</v>
          </cell>
          <cell r="AO52">
            <v>-198480</v>
          </cell>
          <cell r="AP52">
            <v>-263620</v>
          </cell>
          <cell r="AQ52">
            <v>-488628.4</v>
          </cell>
          <cell r="AR52">
            <v>-50121259.520000003</v>
          </cell>
          <cell r="AS52">
            <v>-442300.44</v>
          </cell>
          <cell r="AT52">
            <v>-407579431</v>
          </cell>
          <cell r="AU52">
            <v>17271</v>
          </cell>
          <cell r="AV52">
            <v>7345439</v>
          </cell>
          <cell r="AW52">
            <v>4974945</v>
          </cell>
          <cell r="AX52">
            <v>4567782</v>
          </cell>
          <cell r="AY52">
            <v>1398880</v>
          </cell>
          <cell r="AZ52">
            <v>546137</v>
          </cell>
          <cell r="BA52">
            <v>1915337.3</v>
          </cell>
          <cell r="BB52">
            <v>0</v>
          </cell>
          <cell r="BC52">
            <v>-893860</v>
          </cell>
          <cell r="BD52">
            <v>61493157</v>
          </cell>
          <cell r="BE52">
            <v>-1134134</v>
          </cell>
          <cell r="BF52">
            <v>-1768216</v>
          </cell>
          <cell r="BG52">
            <v>0</v>
          </cell>
          <cell r="BH52">
            <v>37778394</v>
          </cell>
          <cell r="BI52">
            <v>-1112605.71</v>
          </cell>
          <cell r="BJ52">
            <v>-1474176.39</v>
          </cell>
          <cell r="BK52">
            <v>0</v>
          </cell>
        </row>
        <row r="53">
          <cell r="C53" t="str">
            <v>3.0.3</v>
          </cell>
          <cell r="D53" t="str">
            <v>IT systems</v>
          </cell>
          <cell r="E53">
            <v>75615529</v>
          </cell>
          <cell r="F53">
            <v>75615529</v>
          </cell>
          <cell r="G53">
            <v>75615529</v>
          </cell>
          <cell r="H53">
            <v>0</v>
          </cell>
          <cell r="I53">
            <v>18571000</v>
          </cell>
          <cell r="J53">
            <v>18943000</v>
          </cell>
          <cell r="K53">
            <v>19321000</v>
          </cell>
          <cell r="L53">
            <v>35328991</v>
          </cell>
          <cell r="M53">
            <v>9758976.7200000007</v>
          </cell>
          <cell r="N53">
            <v>0</v>
          </cell>
          <cell r="O53">
            <v>0</v>
          </cell>
          <cell r="P53">
            <v>0</v>
          </cell>
          <cell r="Q53">
            <v>18471000</v>
          </cell>
          <cell r="R53">
            <v>18943000</v>
          </cell>
          <cell r="S53">
            <v>19306312.27</v>
          </cell>
          <cell r="T53">
            <v>35326222</v>
          </cell>
          <cell r="U53">
            <v>9743639</v>
          </cell>
          <cell r="V53">
            <v>0</v>
          </cell>
          <cell r="W53">
            <v>0</v>
          </cell>
          <cell r="X53">
            <v>0</v>
          </cell>
          <cell r="Y53">
            <v>27433984</v>
          </cell>
          <cell r="Z53">
            <v>16414507</v>
          </cell>
          <cell r="AA53">
            <v>18142706</v>
          </cell>
          <cell r="AB53">
            <v>28282285</v>
          </cell>
          <cell r="AC53">
            <v>10046067</v>
          </cell>
          <cell r="AD53">
            <v>30237</v>
          </cell>
          <cell r="AE53">
            <v>0</v>
          </cell>
          <cell r="AF53">
            <v>3123815</v>
          </cell>
          <cell r="AG53">
            <v>2610411</v>
          </cell>
          <cell r="AH53">
            <v>1607370</v>
          </cell>
          <cell r="AI53">
            <v>484870</v>
          </cell>
          <cell r="AJ53">
            <v>107345</v>
          </cell>
          <cell r="AK53">
            <v>107345</v>
          </cell>
          <cell r="AL53">
            <v>0</v>
          </cell>
          <cell r="AM53">
            <v>-14531734</v>
          </cell>
          <cell r="AN53">
            <v>-8349765</v>
          </cell>
          <cell r="AO53">
            <v>-4267428</v>
          </cell>
          <cell r="AP53">
            <v>-2815990</v>
          </cell>
          <cell r="AQ53">
            <v>-694942.36</v>
          </cell>
          <cell r="AR53">
            <v>-36212977.280000001</v>
          </cell>
          <cell r="AS53">
            <v>0</v>
          </cell>
          <cell r="AT53">
            <v>-2401891</v>
          </cell>
          <cell r="AU53">
            <v>-12520</v>
          </cell>
          <cell r="AV53">
            <v>2905</v>
          </cell>
          <cell r="AW53">
            <v>12288</v>
          </cell>
          <cell r="AX53">
            <v>-138408</v>
          </cell>
          <cell r="AY53">
            <v>-506555</v>
          </cell>
          <cell r="AZ53">
            <v>-24190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</row>
        <row r="54">
          <cell r="C54" t="str">
            <v>3.0.4</v>
          </cell>
          <cell r="D54" t="str">
            <v>Justice</v>
          </cell>
          <cell r="E54">
            <v>216433</v>
          </cell>
          <cell r="F54">
            <v>216433</v>
          </cell>
          <cell r="G54">
            <v>0</v>
          </cell>
          <cell r="H54">
            <v>0</v>
          </cell>
          <cell r="I54">
            <v>47012000</v>
          </cell>
          <cell r="J54">
            <v>48426649</v>
          </cell>
          <cell r="K54">
            <v>51450000</v>
          </cell>
          <cell r="L54">
            <v>53521000</v>
          </cell>
          <cell r="M54">
            <v>47149000</v>
          </cell>
          <cell r="N54">
            <v>44590492.369999997</v>
          </cell>
          <cell r="O54">
            <v>46553000</v>
          </cell>
          <cell r="P54">
            <v>0</v>
          </cell>
          <cell r="Q54">
            <v>46675028.039999999</v>
          </cell>
          <cell r="R54">
            <v>48311369.780000001</v>
          </cell>
          <cell r="S54">
            <v>51117491.57</v>
          </cell>
          <cell r="T54">
            <v>53345274</v>
          </cell>
          <cell r="U54">
            <v>46956185</v>
          </cell>
          <cell r="V54">
            <v>44582059.090000004</v>
          </cell>
          <cell r="W54">
            <v>0</v>
          </cell>
          <cell r="X54">
            <v>0</v>
          </cell>
          <cell r="Y54">
            <v>8617494</v>
          </cell>
          <cell r="Z54">
            <v>22191968</v>
          </cell>
          <cell r="AA54">
            <v>32074679</v>
          </cell>
          <cell r="AB54">
            <v>35825830</v>
          </cell>
          <cell r="AC54">
            <v>45767076</v>
          </cell>
          <cell r="AD54">
            <v>46294807</v>
          </cell>
          <cell r="AE54">
            <v>42850000</v>
          </cell>
          <cell r="AF54">
            <v>26082464</v>
          </cell>
          <cell r="AG54">
            <v>24745634</v>
          </cell>
          <cell r="AH54">
            <v>11824288</v>
          </cell>
          <cell r="AI54">
            <v>5759494</v>
          </cell>
          <cell r="AJ54">
            <v>165615</v>
          </cell>
          <cell r="AK54">
            <v>165615</v>
          </cell>
          <cell r="AL54">
            <v>0</v>
          </cell>
          <cell r="AM54">
            <v>-59573</v>
          </cell>
          <cell r="AN54">
            <v>-150779</v>
          </cell>
          <cell r="AO54">
            <v>-154501</v>
          </cell>
          <cell r="AP54">
            <v>-17306198</v>
          </cell>
          <cell r="AQ54">
            <v>-663684.51</v>
          </cell>
          <cell r="AR54">
            <v>-1854528.58</v>
          </cell>
          <cell r="AS54">
            <v>-3962949.19</v>
          </cell>
          <cell r="AT54">
            <v>-15360143</v>
          </cell>
          <cell r="AU54">
            <v>0</v>
          </cell>
          <cell r="AV54">
            <v>-89746</v>
          </cell>
          <cell r="AW54">
            <v>-17736</v>
          </cell>
          <cell r="AX54">
            <v>-488626</v>
          </cell>
          <cell r="AY54">
            <v>322780</v>
          </cell>
          <cell r="AZ54">
            <v>19788</v>
          </cell>
          <cell r="BA54">
            <v>-149436.20000000001</v>
          </cell>
          <cell r="BB54">
            <v>0</v>
          </cell>
          <cell r="BC54">
            <v>-156860</v>
          </cell>
          <cell r="BD54">
            <v>-307032</v>
          </cell>
          <cell r="BE54">
            <v>-652468</v>
          </cell>
          <cell r="BF54">
            <v>-521214</v>
          </cell>
          <cell r="BG54">
            <v>0</v>
          </cell>
          <cell r="BH54">
            <v>-463073</v>
          </cell>
          <cell r="BI54">
            <v>-409437.96</v>
          </cell>
          <cell r="BJ54">
            <v>-467690.13</v>
          </cell>
          <cell r="BK54">
            <v>0</v>
          </cell>
        </row>
        <row r="55">
          <cell r="C55" t="str">
            <v>3.0.5</v>
          </cell>
          <cell r="D55" t="str">
            <v>Rights, Equality and Citizenship</v>
          </cell>
          <cell r="E55">
            <v>1198737</v>
          </cell>
          <cell r="F55">
            <v>1198737</v>
          </cell>
          <cell r="G55">
            <v>0</v>
          </cell>
          <cell r="H55">
            <v>0</v>
          </cell>
          <cell r="I55">
            <v>55258000</v>
          </cell>
          <cell r="J55">
            <v>57369000</v>
          </cell>
          <cell r="K55">
            <v>59952000</v>
          </cell>
          <cell r="L55">
            <v>63615000</v>
          </cell>
          <cell r="M55">
            <v>63382000</v>
          </cell>
          <cell r="N55">
            <v>65721000</v>
          </cell>
          <cell r="O55">
            <v>69658000</v>
          </cell>
          <cell r="P55">
            <v>0</v>
          </cell>
          <cell r="Q55">
            <v>54823347.609999999</v>
          </cell>
          <cell r="R55">
            <v>56753856.630000003</v>
          </cell>
          <cell r="S55">
            <v>58581772.670000002</v>
          </cell>
          <cell r="T55">
            <v>63608086</v>
          </cell>
          <cell r="U55">
            <v>63219587</v>
          </cell>
          <cell r="V55">
            <v>65651487.969999999</v>
          </cell>
          <cell r="W55">
            <v>0</v>
          </cell>
          <cell r="X55">
            <v>0</v>
          </cell>
          <cell r="Y55">
            <v>2050932</v>
          </cell>
          <cell r="Z55">
            <v>24609897</v>
          </cell>
          <cell r="AA55">
            <v>40953049</v>
          </cell>
          <cell r="AB55">
            <v>48774687</v>
          </cell>
          <cell r="AC55">
            <v>72168495</v>
          </cell>
          <cell r="AD55">
            <v>61787698</v>
          </cell>
          <cell r="AE55">
            <v>70700000</v>
          </cell>
          <cell r="AF55">
            <v>34938766</v>
          </cell>
          <cell r="AG55">
            <v>31070791</v>
          </cell>
          <cell r="AH55">
            <v>11574249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-432269</v>
          </cell>
          <cell r="AN55">
            <v>-38080</v>
          </cell>
          <cell r="AO55">
            <v>-101530</v>
          </cell>
          <cell r="AP55">
            <v>-12033457</v>
          </cell>
          <cell r="AQ55">
            <v>-1043633.94</v>
          </cell>
          <cell r="AR55">
            <v>-1186018.73</v>
          </cell>
          <cell r="AS55">
            <v>-5045115.1100000003</v>
          </cell>
          <cell r="AT55">
            <v>-16481648</v>
          </cell>
          <cell r="AU55">
            <v>25340</v>
          </cell>
          <cell r="AV55">
            <v>-7294</v>
          </cell>
          <cell r="AW55">
            <v>19590</v>
          </cell>
          <cell r="AX55">
            <v>-240987</v>
          </cell>
          <cell r="AY55">
            <v>5415</v>
          </cell>
          <cell r="AZ55">
            <v>242760</v>
          </cell>
          <cell r="BA55">
            <v>-306021.77</v>
          </cell>
          <cell r="BB55">
            <v>0</v>
          </cell>
          <cell r="BC55">
            <v>-766467</v>
          </cell>
          <cell r="BD55">
            <v>-310440</v>
          </cell>
          <cell r="BE55">
            <v>-376618</v>
          </cell>
          <cell r="BF55">
            <v>-478420</v>
          </cell>
          <cell r="BG55">
            <v>0</v>
          </cell>
          <cell r="BH55">
            <v>-401261</v>
          </cell>
          <cell r="BI55">
            <v>-402499.1</v>
          </cell>
          <cell r="BJ55">
            <v>-378603.7</v>
          </cell>
          <cell r="BK55">
            <v>0</v>
          </cell>
        </row>
        <row r="56">
          <cell r="C56" t="str">
            <v>3.0.6</v>
          </cell>
          <cell r="D56" t="str">
            <v>Union Civil protection Mechanism</v>
          </cell>
          <cell r="E56">
            <v>171282</v>
          </cell>
          <cell r="F56">
            <v>171282</v>
          </cell>
          <cell r="G56">
            <v>0</v>
          </cell>
          <cell r="H56">
            <v>0</v>
          </cell>
          <cell r="I56">
            <v>28219000</v>
          </cell>
          <cell r="J56">
            <v>29258000</v>
          </cell>
          <cell r="K56">
            <v>30574000</v>
          </cell>
          <cell r="L56">
            <v>29525000</v>
          </cell>
          <cell r="M56">
            <v>33246000</v>
          </cell>
          <cell r="N56">
            <v>104556000</v>
          </cell>
          <cell r="O56">
            <v>511170000</v>
          </cell>
          <cell r="P56">
            <v>0</v>
          </cell>
          <cell r="Q56">
            <v>27865172.219999999</v>
          </cell>
          <cell r="R56">
            <v>28963882.09</v>
          </cell>
          <cell r="S56">
            <v>29519965.059999999</v>
          </cell>
          <cell r="T56">
            <v>28756847</v>
          </cell>
          <cell r="U56">
            <v>33212640</v>
          </cell>
          <cell r="V56">
            <v>69555816.459999993</v>
          </cell>
          <cell r="W56">
            <v>0</v>
          </cell>
          <cell r="X56">
            <v>0</v>
          </cell>
          <cell r="Y56">
            <v>11252833</v>
          </cell>
          <cell r="Z56">
            <v>17151980</v>
          </cell>
          <cell r="AA56">
            <v>18984340</v>
          </cell>
          <cell r="AB56">
            <v>24093986</v>
          </cell>
          <cell r="AC56">
            <v>31031050</v>
          </cell>
          <cell r="AD56">
            <v>42369648</v>
          </cell>
          <cell r="AE56">
            <v>252000000</v>
          </cell>
          <cell r="AF56">
            <v>34550088</v>
          </cell>
          <cell r="AG56">
            <v>100575731</v>
          </cell>
          <cell r="AH56">
            <v>83933990</v>
          </cell>
          <cell r="AI56">
            <v>2205053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-33111</v>
          </cell>
          <cell r="AO56">
            <v>-1163183</v>
          </cell>
          <cell r="AP56">
            <v>-764611</v>
          </cell>
          <cell r="AQ56">
            <v>-2273349.21</v>
          </cell>
          <cell r="AR56">
            <v>-3349382.31</v>
          </cell>
          <cell r="AS56">
            <v>-2841125.3</v>
          </cell>
          <cell r="AT56">
            <v>-14265209</v>
          </cell>
          <cell r="AU56">
            <v>442820</v>
          </cell>
          <cell r="AV56">
            <v>141912</v>
          </cell>
          <cell r="AW56">
            <v>163101</v>
          </cell>
          <cell r="AX56">
            <v>32796</v>
          </cell>
          <cell r="AY56">
            <v>172693</v>
          </cell>
          <cell r="AZ56">
            <v>1080403</v>
          </cell>
          <cell r="BA56">
            <v>-1372619.73</v>
          </cell>
          <cell r="BB56">
            <v>0</v>
          </cell>
          <cell r="BC56">
            <v>-171282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-1861779</v>
          </cell>
          <cell r="BI56">
            <v>0</v>
          </cell>
          <cell r="BJ56">
            <v>0</v>
          </cell>
          <cell r="BK56">
            <v>0</v>
          </cell>
        </row>
        <row r="57">
          <cell r="C57" t="str">
            <v>3.0.7</v>
          </cell>
          <cell r="D57" t="str">
            <v>Europe for Citizens</v>
          </cell>
          <cell r="E57">
            <v>213171</v>
          </cell>
          <cell r="F57">
            <v>213171</v>
          </cell>
          <cell r="G57">
            <v>0</v>
          </cell>
          <cell r="H57">
            <v>0</v>
          </cell>
          <cell r="I57">
            <v>25638000</v>
          </cell>
          <cell r="J57">
            <v>24250000</v>
          </cell>
          <cell r="K57">
            <v>25340000</v>
          </cell>
          <cell r="L57">
            <v>26441000</v>
          </cell>
          <cell r="M57">
            <v>27555000</v>
          </cell>
          <cell r="N57">
            <v>28682000</v>
          </cell>
          <cell r="O57">
            <v>30812000</v>
          </cell>
          <cell r="P57">
            <v>0</v>
          </cell>
          <cell r="Q57">
            <v>25638000</v>
          </cell>
          <cell r="R57">
            <v>24174124.5</v>
          </cell>
          <cell r="S57">
            <v>25339135</v>
          </cell>
          <cell r="T57">
            <v>26344242</v>
          </cell>
          <cell r="U57">
            <v>27554826</v>
          </cell>
          <cell r="V57">
            <v>28657961.260000002</v>
          </cell>
          <cell r="W57">
            <v>0</v>
          </cell>
          <cell r="X57">
            <v>0</v>
          </cell>
          <cell r="Y57">
            <v>14944713</v>
          </cell>
          <cell r="Z57">
            <v>14041489</v>
          </cell>
          <cell r="AA57">
            <v>24440400</v>
          </cell>
          <cell r="AB57">
            <v>26089252</v>
          </cell>
          <cell r="AC57">
            <v>28429000</v>
          </cell>
          <cell r="AD57">
            <v>24720718</v>
          </cell>
          <cell r="AE57">
            <v>29498751</v>
          </cell>
          <cell r="AF57">
            <v>14612706</v>
          </cell>
          <cell r="AG57">
            <v>6290548</v>
          </cell>
          <cell r="AH57">
            <v>2751305</v>
          </cell>
          <cell r="AI57">
            <v>491304</v>
          </cell>
          <cell r="AJ57">
            <v>0</v>
          </cell>
          <cell r="AK57">
            <v>0</v>
          </cell>
          <cell r="AL57">
            <v>0</v>
          </cell>
          <cell r="AM57">
            <v>-58416</v>
          </cell>
          <cell r="AN57">
            <v>-56030</v>
          </cell>
          <cell r="AO57">
            <v>-507212</v>
          </cell>
          <cell r="AP57">
            <v>-416496</v>
          </cell>
          <cell r="AQ57">
            <v>-297890.11</v>
          </cell>
          <cell r="AR57">
            <v>-631504.66</v>
          </cell>
          <cell r="AS57">
            <v>-204118.12</v>
          </cell>
          <cell r="AT57">
            <v>-803850</v>
          </cell>
          <cell r="AU57">
            <v>89171</v>
          </cell>
          <cell r="AV57">
            <v>181201</v>
          </cell>
          <cell r="AW57">
            <v>169558</v>
          </cell>
          <cell r="AX57">
            <v>53822</v>
          </cell>
          <cell r="AY57">
            <v>-40971</v>
          </cell>
          <cell r="AZ57">
            <v>23324</v>
          </cell>
          <cell r="BA57">
            <v>0</v>
          </cell>
          <cell r="BB57">
            <v>0</v>
          </cell>
          <cell r="BC57">
            <v>-154756</v>
          </cell>
          <cell r="BD57">
            <v>-166197</v>
          </cell>
          <cell r="BE57">
            <v>-331600</v>
          </cell>
          <cell r="BF57">
            <v>-200000</v>
          </cell>
          <cell r="BG57">
            <v>0</v>
          </cell>
          <cell r="BH57">
            <v>-252559</v>
          </cell>
          <cell r="BI57">
            <v>-153000</v>
          </cell>
          <cell r="BJ57">
            <v>-125328.22</v>
          </cell>
          <cell r="BK57">
            <v>0</v>
          </cell>
        </row>
        <row r="58">
          <cell r="C58" t="str">
            <v>3.0.8</v>
          </cell>
          <cell r="D58" t="str">
            <v>Food and feed</v>
          </cell>
          <cell r="E58">
            <v>1197478</v>
          </cell>
          <cell r="F58">
            <v>1197478</v>
          </cell>
          <cell r="G58">
            <v>0</v>
          </cell>
          <cell r="H58">
            <v>0</v>
          </cell>
          <cell r="I58">
            <v>253394000</v>
          </cell>
          <cell r="J58">
            <v>245620000</v>
          </cell>
          <cell r="K58">
            <v>252996000</v>
          </cell>
          <cell r="L58">
            <v>258928000</v>
          </cell>
          <cell r="M58">
            <v>279428000</v>
          </cell>
          <cell r="N58">
            <v>289691000</v>
          </cell>
          <cell r="O58">
            <v>274858000</v>
          </cell>
          <cell r="P58">
            <v>0</v>
          </cell>
          <cell r="Q58">
            <v>253389958.80000001</v>
          </cell>
          <cell r="R58">
            <v>245614089.40000001</v>
          </cell>
          <cell r="S58">
            <v>252996000</v>
          </cell>
          <cell r="T58">
            <v>258927999</v>
          </cell>
          <cell r="U58">
            <v>279428000</v>
          </cell>
          <cell r="V58">
            <v>289690956.5</v>
          </cell>
          <cell r="W58">
            <v>0</v>
          </cell>
          <cell r="X58">
            <v>0</v>
          </cell>
          <cell r="Y58">
            <v>22861702</v>
          </cell>
          <cell r="Z58">
            <v>176085332</v>
          </cell>
          <cell r="AA58">
            <v>229492606</v>
          </cell>
          <cell r="AB58">
            <v>238915564</v>
          </cell>
          <cell r="AC58">
            <v>243680167</v>
          </cell>
          <cell r="AD58">
            <v>241575054</v>
          </cell>
          <cell r="AE58">
            <v>240933000</v>
          </cell>
          <cell r="AF58">
            <v>225979559</v>
          </cell>
          <cell r="AG58">
            <v>84363185</v>
          </cell>
          <cell r="AH58">
            <v>45189815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-45921</v>
          </cell>
          <cell r="AN58">
            <v>-1714791</v>
          </cell>
          <cell r="AO58">
            <v>-24125522</v>
          </cell>
          <cell r="AP58">
            <v>-23759083</v>
          </cell>
          <cell r="AQ58">
            <v>-15678437.23</v>
          </cell>
          <cell r="AR58">
            <v>-9055332.5</v>
          </cell>
          <cell r="AS58">
            <v>-1316447.6499999999</v>
          </cell>
          <cell r="AT58">
            <v>-31352248</v>
          </cell>
          <cell r="AU58">
            <v>1914522</v>
          </cell>
          <cell r="AV58">
            <v>-1830180</v>
          </cell>
          <cell r="AW58">
            <v>774633</v>
          </cell>
          <cell r="AX58">
            <v>407850</v>
          </cell>
          <cell r="AY58">
            <v>-822681</v>
          </cell>
          <cell r="AZ58">
            <v>-1587753</v>
          </cell>
          <cell r="BA58">
            <v>499782.92</v>
          </cell>
          <cell r="BB58">
            <v>0</v>
          </cell>
          <cell r="BC58">
            <v>-151557</v>
          </cell>
          <cell r="BD58">
            <v>5812892</v>
          </cell>
          <cell r="BE58">
            <v>-798264</v>
          </cell>
          <cell r="BF58">
            <v>-1045450</v>
          </cell>
          <cell r="BG58">
            <v>0</v>
          </cell>
          <cell r="BH58">
            <v>-1000517</v>
          </cell>
          <cell r="BI58">
            <v>-775493.13</v>
          </cell>
          <cell r="BJ58">
            <v>-884032.63</v>
          </cell>
          <cell r="BK58">
            <v>0</v>
          </cell>
        </row>
        <row r="59">
          <cell r="C59" t="str">
            <v>3.0.9</v>
          </cell>
          <cell r="D59" t="str">
            <v>Health</v>
          </cell>
          <cell r="E59">
            <v>1051047</v>
          </cell>
          <cell r="F59">
            <v>1051047</v>
          </cell>
          <cell r="G59">
            <v>0</v>
          </cell>
          <cell r="H59">
            <v>0</v>
          </cell>
          <cell r="I59">
            <v>58579000</v>
          </cell>
          <cell r="J59">
            <v>59750000</v>
          </cell>
          <cell r="K59">
            <v>62160000</v>
          </cell>
          <cell r="L59">
            <v>64529000</v>
          </cell>
          <cell r="M59">
            <v>66373500</v>
          </cell>
          <cell r="N59">
            <v>68308000</v>
          </cell>
          <cell r="O59">
            <v>69674000</v>
          </cell>
          <cell r="P59">
            <v>0</v>
          </cell>
          <cell r="Q59">
            <v>58578995.960000001</v>
          </cell>
          <cell r="R59">
            <v>59748007.240000002</v>
          </cell>
          <cell r="S59">
            <v>62160000</v>
          </cell>
          <cell r="T59">
            <v>64529000</v>
          </cell>
          <cell r="U59">
            <v>66371928</v>
          </cell>
          <cell r="V59">
            <v>68307996.239999995</v>
          </cell>
          <cell r="W59">
            <v>0</v>
          </cell>
          <cell r="X59">
            <v>0</v>
          </cell>
          <cell r="Y59">
            <v>7152393</v>
          </cell>
          <cell r="Z59">
            <v>27120480</v>
          </cell>
          <cell r="AA59">
            <v>43466820</v>
          </cell>
          <cell r="AB59">
            <v>49164337</v>
          </cell>
          <cell r="AC59">
            <v>56035570</v>
          </cell>
          <cell r="AD59">
            <v>63163399</v>
          </cell>
          <cell r="AE59">
            <v>64150000</v>
          </cell>
          <cell r="AF59">
            <v>49362964</v>
          </cell>
          <cell r="AG59">
            <v>45962746</v>
          </cell>
          <cell r="AH59">
            <v>31854510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-307051</v>
          </cell>
          <cell r="AN59">
            <v>-1011763</v>
          </cell>
          <cell r="AO59">
            <v>-1357352</v>
          </cell>
          <cell r="AP59">
            <v>-213642</v>
          </cell>
          <cell r="AQ59">
            <v>-3430354.29</v>
          </cell>
          <cell r="AR59">
            <v>-496062.41</v>
          </cell>
          <cell r="AS59">
            <v>-532670.29</v>
          </cell>
          <cell r="AT59">
            <v>-9621803</v>
          </cell>
          <cell r="AU59">
            <v>1495919</v>
          </cell>
          <cell r="AV59">
            <v>792510</v>
          </cell>
          <cell r="AW59">
            <v>254285</v>
          </cell>
          <cell r="AX59">
            <v>369492</v>
          </cell>
          <cell r="AY59">
            <v>255290</v>
          </cell>
          <cell r="AZ59">
            <v>391652</v>
          </cell>
          <cell r="BA59">
            <v>-798506.34</v>
          </cell>
          <cell r="BB59">
            <v>0</v>
          </cell>
          <cell r="BC59">
            <v>-743996</v>
          </cell>
          <cell r="BD59">
            <v>-957929</v>
          </cell>
          <cell r="BE59">
            <v>-481377</v>
          </cell>
          <cell r="BF59">
            <v>-1097548</v>
          </cell>
          <cell r="BG59">
            <v>0</v>
          </cell>
          <cell r="BH59">
            <v>-837569</v>
          </cell>
          <cell r="BI59">
            <v>-777597.83</v>
          </cell>
          <cell r="BJ59">
            <v>-1034131.03</v>
          </cell>
          <cell r="BK59">
            <v>0</v>
          </cell>
        </row>
        <row r="60">
          <cell r="C60" t="str">
            <v>3.0.DAG</v>
          </cell>
          <cell r="D60" t="str">
            <v>Decentralised agencies</v>
          </cell>
          <cell r="E60">
            <v>93616596</v>
          </cell>
          <cell r="F60">
            <v>93616596</v>
          </cell>
          <cell r="G60">
            <v>93616596</v>
          </cell>
          <cell r="H60">
            <v>0</v>
          </cell>
          <cell r="I60">
            <v>493773894</v>
          </cell>
          <cell r="J60">
            <v>558175811</v>
          </cell>
          <cell r="K60">
            <v>678669337</v>
          </cell>
          <cell r="L60">
            <v>857536650</v>
          </cell>
          <cell r="M60">
            <v>919984556</v>
          </cell>
          <cell r="N60">
            <v>1065797390</v>
          </cell>
          <cell r="O60">
            <v>1259688018</v>
          </cell>
          <cell r="P60">
            <v>0</v>
          </cell>
          <cell r="Q60">
            <v>488187381.89999998</v>
          </cell>
          <cell r="R60">
            <v>558175400.39999998</v>
          </cell>
          <cell r="S60">
            <v>678650941.79999995</v>
          </cell>
          <cell r="T60">
            <v>857536650</v>
          </cell>
          <cell r="U60">
            <v>919984556</v>
          </cell>
          <cell r="V60">
            <v>1058792988</v>
          </cell>
          <cell r="W60">
            <v>0</v>
          </cell>
          <cell r="X60">
            <v>0</v>
          </cell>
          <cell r="Y60">
            <v>459935757</v>
          </cell>
          <cell r="Z60">
            <v>549608206</v>
          </cell>
          <cell r="AA60">
            <v>680855445</v>
          </cell>
          <cell r="AB60">
            <v>763959105</v>
          </cell>
          <cell r="AC60">
            <v>809806730</v>
          </cell>
          <cell r="AD60">
            <v>905292301</v>
          </cell>
          <cell r="AE60">
            <v>1211333709</v>
          </cell>
          <cell r="AF60">
            <v>225151294</v>
          </cell>
          <cell r="AG60">
            <v>219418114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-15316283</v>
          </cell>
          <cell r="AN60">
            <v>-10537808</v>
          </cell>
          <cell r="AO60">
            <v>-61320529</v>
          </cell>
          <cell r="AP60">
            <v>-2718412</v>
          </cell>
          <cell r="AQ60">
            <v>-757218.75</v>
          </cell>
          <cell r="AR60">
            <v>-61874.59</v>
          </cell>
          <cell r="AS60">
            <v>0</v>
          </cell>
          <cell r="AT60">
            <v>-495567</v>
          </cell>
          <cell r="AU60">
            <v>564000</v>
          </cell>
          <cell r="AV60">
            <v>-115446</v>
          </cell>
          <cell r="AW60">
            <v>-151198</v>
          </cell>
          <cell r="AX60">
            <v>-29606</v>
          </cell>
          <cell r="AY60">
            <v>70157</v>
          </cell>
          <cell r="AZ60">
            <v>0</v>
          </cell>
          <cell r="BA60">
            <v>6076224.2000000002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</row>
        <row r="61">
          <cell r="C61" t="str">
            <v>3.0.OTH</v>
          </cell>
          <cell r="D61">
            <v>0</v>
          </cell>
          <cell r="E61">
            <v>699003</v>
          </cell>
          <cell r="F61">
            <v>699003</v>
          </cell>
          <cell r="G61">
            <v>699003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557100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-23893</v>
          </cell>
          <cell r="AN61">
            <v>-118010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</row>
        <row r="62">
          <cell r="C62" t="str">
            <v>3.0.PPPA</v>
          </cell>
          <cell r="D62" t="str">
            <v>Pilot projects and preparatory actions</v>
          </cell>
          <cell r="E62">
            <v>24295928</v>
          </cell>
          <cell r="F62">
            <v>24295928</v>
          </cell>
          <cell r="G62">
            <v>24295928</v>
          </cell>
          <cell r="H62">
            <v>0</v>
          </cell>
          <cell r="I62">
            <v>15767718</v>
          </cell>
          <cell r="J62">
            <v>17677036</v>
          </cell>
          <cell r="K62">
            <v>11075000</v>
          </cell>
          <cell r="L62">
            <v>9650000</v>
          </cell>
          <cell r="M62">
            <v>11450000</v>
          </cell>
          <cell r="N62">
            <v>15075000</v>
          </cell>
          <cell r="O62">
            <v>22520119</v>
          </cell>
          <cell r="P62">
            <v>0</v>
          </cell>
          <cell r="Q62">
            <v>13731578.34</v>
          </cell>
          <cell r="R62">
            <v>17463722.219999999</v>
          </cell>
          <cell r="S62">
            <v>10524999.6</v>
          </cell>
          <cell r="T62">
            <v>9476087</v>
          </cell>
          <cell r="U62">
            <v>11436738</v>
          </cell>
          <cell r="V62">
            <v>15001670</v>
          </cell>
          <cell r="W62">
            <v>0</v>
          </cell>
          <cell r="X62">
            <v>0</v>
          </cell>
          <cell r="Y62">
            <v>11448596</v>
          </cell>
          <cell r="Z62">
            <v>11560268</v>
          </cell>
          <cell r="AA62">
            <v>8961913</v>
          </cell>
          <cell r="AB62">
            <v>13572143</v>
          </cell>
          <cell r="AC62">
            <v>11306465</v>
          </cell>
          <cell r="AD62">
            <v>7097540</v>
          </cell>
          <cell r="AE62">
            <v>16255988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-527121</v>
          </cell>
          <cell r="AN62">
            <v>-2107726</v>
          </cell>
          <cell r="AO62">
            <v>-303763</v>
          </cell>
          <cell r="AP62">
            <v>-2061348</v>
          </cell>
          <cell r="AQ62">
            <v>-674072.36</v>
          </cell>
          <cell r="AR62">
            <v>-2771146.89</v>
          </cell>
          <cell r="AS62">
            <v>-1106991.31</v>
          </cell>
          <cell r="AT62">
            <v>0</v>
          </cell>
          <cell r="AU62">
            <v>0</v>
          </cell>
          <cell r="AV62">
            <v>0</v>
          </cell>
          <cell r="AW62">
            <v>-210122</v>
          </cell>
          <cell r="AX62">
            <v>0</v>
          </cell>
          <cell r="AY62">
            <v>0</v>
          </cell>
          <cell r="AZ62">
            <v>0</v>
          </cell>
          <cell r="BA62">
            <v>-3556.52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</row>
        <row r="63">
          <cell r="C63" t="str">
            <v>3.0.SPEC</v>
          </cell>
          <cell r="D63" t="str">
            <v>Actions financed under the prerogatives of the Commission and specific competences conferred to the Commission</v>
          </cell>
          <cell r="E63">
            <v>80294508</v>
          </cell>
          <cell r="F63">
            <v>80294508</v>
          </cell>
          <cell r="G63">
            <v>78164327</v>
          </cell>
          <cell r="H63">
            <v>0</v>
          </cell>
          <cell r="I63">
            <v>167465000</v>
          </cell>
          <cell r="J63">
            <v>85772508</v>
          </cell>
          <cell r="K63">
            <v>99320000</v>
          </cell>
          <cell r="L63">
            <v>100908000</v>
          </cell>
          <cell r="M63">
            <v>98757000</v>
          </cell>
          <cell r="N63">
            <v>105790000</v>
          </cell>
          <cell r="O63">
            <v>106283000</v>
          </cell>
          <cell r="P63">
            <v>0</v>
          </cell>
          <cell r="Q63">
            <v>166547890.19999999</v>
          </cell>
          <cell r="R63">
            <v>85726469.719999999</v>
          </cell>
          <cell r="S63">
            <v>99274245.969999999</v>
          </cell>
          <cell r="T63">
            <v>100886889</v>
          </cell>
          <cell r="U63">
            <v>98754108</v>
          </cell>
          <cell r="V63">
            <v>105786528.59999999</v>
          </cell>
          <cell r="W63">
            <v>0</v>
          </cell>
          <cell r="X63">
            <v>0</v>
          </cell>
          <cell r="Y63">
            <v>168282513</v>
          </cell>
          <cell r="Z63">
            <v>89207810</v>
          </cell>
          <cell r="AA63">
            <v>87889014</v>
          </cell>
          <cell r="AB63">
            <v>95523700</v>
          </cell>
          <cell r="AC63">
            <v>92567342</v>
          </cell>
          <cell r="AD63">
            <v>99459095</v>
          </cell>
          <cell r="AE63">
            <v>104610000</v>
          </cell>
          <cell r="AF63">
            <v>62496933</v>
          </cell>
          <cell r="AG63">
            <v>22269249</v>
          </cell>
          <cell r="AH63">
            <v>3359230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-5273522</v>
          </cell>
          <cell r="AN63">
            <v>-3959123</v>
          </cell>
          <cell r="AO63">
            <v>-1934990</v>
          </cell>
          <cell r="AP63">
            <v>-2017492</v>
          </cell>
          <cell r="AQ63">
            <v>-1489972.13</v>
          </cell>
          <cell r="AR63">
            <v>-2423507.79</v>
          </cell>
          <cell r="AS63">
            <v>-2342365.7599999998</v>
          </cell>
          <cell r="AT63">
            <v>-563763</v>
          </cell>
          <cell r="AU63">
            <v>245140</v>
          </cell>
          <cell r="AV63">
            <v>-199443</v>
          </cell>
          <cell r="AW63">
            <v>-141189</v>
          </cell>
          <cell r="AX63">
            <v>141120</v>
          </cell>
          <cell r="AY63">
            <v>335429</v>
          </cell>
          <cell r="AZ63">
            <v>-377207</v>
          </cell>
          <cell r="BA63">
            <v>0</v>
          </cell>
          <cell r="BB63">
            <v>0</v>
          </cell>
          <cell r="BC63">
            <v>-2002051</v>
          </cell>
          <cell r="BD63">
            <v>-677891</v>
          </cell>
          <cell r="BE63">
            <v>-643360</v>
          </cell>
          <cell r="BF63">
            <v>-558090</v>
          </cell>
          <cell r="BG63">
            <v>0</v>
          </cell>
          <cell r="BH63">
            <v>-497130</v>
          </cell>
          <cell r="BI63">
            <v>-623367.84</v>
          </cell>
          <cell r="BJ63">
            <v>-757448.28</v>
          </cell>
          <cell r="BK63">
            <v>0</v>
          </cell>
        </row>
        <row r="64">
          <cell r="C64" t="str">
            <v>4.0.1</v>
          </cell>
          <cell r="D64" t="str">
            <v>Instrument for Pre-accession assistance (IPA II)</v>
          </cell>
          <cell r="E64">
            <v>4912222</v>
          </cell>
          <cell r="F64">
            <v>4912222</v>
          </cell>
          <cell r="G64">
            <v>0</v>
          </cell>
          <cell r="H64">
            <v>0</v>
          </cell>
          <cell r="I64">
            <v>1478623722</v>
          </cell>
          <cell r="J64">
            <v>1573724973</v>
          </cell>
          <cell r="K64">
            <v>1678147602</v>
          </cell>
          <cell r="L64">
            <v>2118403978</v>
          </cell>
          <cell r="M64">
            <v>2041382932</v>
          </cell>
          <cell r="N64">
            <v>2394089634</v>
          </cell>
          <cell r="O64">
            <v>1671101837</v>
          </cell>
          <cell r="P64">
            <v>0</v>
          </cell>
          <cell r="Q64">
            <v>1477527070</v>
          </cell>
          <cell r="R64">
            <v>1572800763</v>
          </cell>
          <cell r="S64">
            <v>1676281912</v>
          </cell>
          <cell r="T64">
            <v>2118210848</v>
          </cell>
          <cell r="U64">
            <v>2040529007</v>
          </cell>
          <cell r="V64">
            <v>2393223158</v>
          </cell>
          <cell r="W64">
            <v>0</v>
          </cell>
          <cell r="X64">
            <v>0</v>
          </cell>
          <cell r="Y64">
            <v>56179769</v>
          </cell>
          <cell r="Z64">
            <v>277649731</v>
          </cell>
          <cell r="AA64">
            <v>431725383</v>
          </cell>
          <cell r="AB64">
            <v>865748646</v>
          </cell>
          <cell r="AC64">
            <v>1085653906</v>
          </cell>
          <cell r="AD64">
            <v>1304063884</v>
          </cell>
          <cell r="AE64">
            <v>1404291500</v>
          </cell>
          <cell r="AF64">
            <v>1600781435</v>
          </cell>
          <cell r="AG64">
            <v>1877294688</v>
          </cell>
          <cell r="AH64">
            <v>1755581375</v>
          </cell>
          <cell r="AI64">
            <v>1162828578</v>
          </cell>
          <cell r="AJ64">
            <v>921010100</v>
          </cell>
          <cell r="AK64">
            <v>501497015</v>
          </cell>
          <cell r="AL64">
            <v>0</v>
          </cell>
          <cell r="AM64">
            <v>-2017426</v>
          </cell>
          <cell r="AN64">
            <v>-1220521</v>
          </cell>
          <cell r="AO64">
            <v>-2058936</v>
          </cell>
          <cell r="AP64">
            <v>-1766366</v>
          </cell>
          <cell r="AQ64">
            <v>-6870149.7999999998</v>
          </cell>
          <cell r="AR64">
            <v>-39015035.310000002</v>
          </cell>
          <cell r="AS64">
            <v>-4730207.51</v>
          </cell>
          <cell r="AT64">
            <v>10924901</v>
          </cell>
          <cell r="AU64">
            <v>2827591</v>
          </cell>
          <cell r="AV64">
            <v>5277222</v>
          </cell>
          <cell r="AW64">
            <v>-1089015</v>
          </cell>
          <cell r="AX64">
            <v>13942424</v>
          </cell>
          <cell r="AY64">
            <v>7234752</v>
          </cell>
          <cell r="AZ64">
            <v>19353688</v>
          </cell>
          <cell r="BA64">
            <v>14090823.84</v>
          </cell>
          <cell r="BB64">
            <v>0</v>
          </cell>
          <cell r="BC64">
            <v>-3416837</v>
          </cell>
          <cell r="BD64">
            <v>110893599</v>
          </cell>
          <cell r="BE64">
            <v>-3630653</v>
          </cell>
          <cell r="BF64">
            <v>-3514050</v>
          </cell>
          <cell r="BG64">
            <v>0</v>
          </cell>
          <cell r="BH64">
            <v>-4281367</v>
          </cell>
          <cell r="BI64">
            <v>-4731804.68</v>
          </cell>
          <cell r="BJ64">
            <v>-5997417.4900000002</v>
          </cell>
          <cell r="BK64">
            <v>0</v>
          </cell>
        </row>
        <row r="65">
          <cell r="C65" t="str">
            <v>4.0.10</v>
          </cell>
          <cell r="D65" t="str">
            <v>Macro-financial Assistance (MFA)</v>
          </cell>
          <cell r="E65">
            <v>10168163</v>
          </cell>
          <cell r="F65">
            <v>10168163</v>
          </cell>
          <cell r="G65">
            <v>10168163</v>
          </cell>
          <cell r="H65">
            <v>0</v>
          </cell>
          <cell r="I65">
            <v>38300000</v>
          </cell>
          <cell r="J65">
            <v>500000</v>
          </cell>
          <cell r="K65">
            <v>369000</v>
          </cell>
          <cell r="L65">
            <v>40328000</v>
          </cell>
          <cell r="M65">
            <v>10586000</v>
          </cell>
          <cell r="N65">
            <v>130000</v>
          </cell>
          <cell r="O65">
            <v>20000000</v>
          </cell>
          <cell r="P65">
            <v>0</v>
          </cell>
          <cell r="Q65">
            <v>38181874</v>
          </cell>
          <cell r="R65">
            <v>62900</v>
          </cell>
          <cell r="S65">
            <v>331821</v>
          </cell>
          <cell r="T65">
            <v>40223715</v>
          </cell>
          <cell r="U65">
            <v>10304620</v>
          </cell>
          <cell r="V65">
            <v>125900</v>
          </cell>
          <cell r="W65">
            <v>0</v>
          </cell>
          <cell r="X65">
            <v>0</v>
          </cell>
          <cell r="Y65">
            <v>179806</v>
          </cell>
          <cell r="Z65">
            <v>23029806</v>
          </cell>
          <cell r="AA65">
            <v>5131195</v>
          </cell>
          <cell r="AB65">
            <v>10324840</v>
          </cell>
          <cell r="AC65">
            <v>5102133</v>
          </cell>
          <cell r="AD65">
            <v>10304950</v>
          </cell>
          <cell r="AE65">
            <v>27000000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-127130</v>
          </cell>
          <cell r="AN65">
            <v>-10009075</v>
          </cell>
          <cell r="AO65">
            <v>-5388</v>
          </cell>
          <cell r="AP65">
            <v>-1622</v>
          </cell>
          <cell r="AQ65">
            <v>-7319</v>
          </cell>
          <cell r="AR65">
            <v>-45943</v>
          </cell>
          <cell r="AS65">
            <v>0</v>
          </cell>
          <cell r="AT65">
            <v>-19500000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</row>
        <row r="66">
          <cell r="C66" t="str">
            <v>4.0.11</v>
          </cell>
          <cell r="D66" t="str">
            <v>Guarantee Fund for External Actions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58432294</v>
          </cell>
          <cell r="J66">
            <v>144409518</v>
          </cell>
          <cell r="K66">
            <v>257121792</v>
          </cell>
          <cell r="L66">
            <v>240540250</v>
          </cell>
          <cell r="M66">
            <v>137800722</v>
          </cell>
          <cell r="N66">
            <v>0</v>
          </cell>
          <cell r="O66">
            <v>233375757</v>
          </cell>
          <cell r="P66">
            <v>0</v>
          </cell>
          <cell r="Q66">
            <v>58432294</v>
          </cell>
          <cell r="R66">
            <v>144409518</v>
          </cell>
          <cell r="S66">
            <v>257121792</v>
          </cell>
          <cell r="T66">
            <v>240540250</v>
          </cell>
          <cell r="U66">
            <v>137800722</v>
          </cell>
          <cell r="V66">
            <v>0</v>
          </cell>
          <cell r="W66">
            <v>0</v>
          </cell>
          <cell r="X66">
            <v>0</v>
          </cell>
          <cell r="Y66">
            <v>58432294</v>
          </cell>
          <cell r="Z66">
            <v>144409518</v>
          </cell>
          <cell r="AA66">
            <v>257121792</v>
          </cell>
          <cell r="AB66">
            <v>240540250</v>
          </cell>
          <cell r="AC66">
            <v>137800722</v>
          </cell>
          <cell r="AD66">
            <v>0</v>
          </cell>
          <cell r="AE66">
            <v>233375757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</row>
        <row r="67">
          <cell r="C67" t="str">
            <v>4.0.12</v>
          </cell>
          <cell r="D67" t="str">
            <v>Union Civil Protection Mechanism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14946000</v>
          </cell>
          <cell r="J67">
            <v>19934000</v>
          </cell>
          <cell r="K67">
            <v>8124000</v>
          </cell>
          <cell r="L67">
            <v>11411000</v>
          </cell>
          <cell r="M67">
            <v>6029000</v>
          </cell>
          <cell r="N67">
            <v>12640834.85</v>
          </cell>
          <cell r="O67">
            <v>63729000</v>
          </cell>
          <cell r="P67">
            <v>0</v>
          </cell>
          <cell r="Q67">
            <v>14544383.460000001</v>
          </cell>
          <cell r="R67">
            <v>18550150.52</v>
          </cell>
          <cell r="S67">
            <v>8047359.3700000001</v>
          </cell>
          <cell r="T67">
            <v>11214805</v>
          </cell>
          <cell r="U67">
            <v>6027685</v>
          </cell>
          <cell r="V67">
            <v>12640834.85</v>
          </cell>
          <cell r="W67">
            <v>0</v>
          </cell>
          <cell r="X67">
            <v>0</v>
          </cell>
          <cell r="Y67">
            <v>3802416</v>
          </cell>
          <cell r="Z67">
            <v>14548097</v>
          </cell>
          <cell r="AA67">
            <v>8720297</v>
          </cell>
          <cell r="AB67">
            <v>8470216</v>
          </cell>
          <cell r="AC67">
            <v>6377961</v>
          </cell>
          <cell r="AD67">
            <v>8613219</v>
          </cell>
          <cell r="AE67">
            <v>15706250</v>
          </cell>
          <cell r="AF67">
            <v>1611369</v>
          </cell>
          <cell r="AG67">
            <v>5870682</v>
          </cell>
          <cell r="AH67">
            <v>341934</v>
          </cell>
          <cell r="AI67">
            <v>0</v>
          </cell>
          <cell r="AJ67">
            <v>0</v>
          </cell>
          <cell r="AK67">
            <v>18896447</v>
          </cell>
          <cell r="AL67">
            <v>0</v>
          </cell>
          <cell r="AM67">
            <v>0</v>
          </cell>
          <cell r="AN67">
            <v>0</v>
          </cell>
          <cell r="AO67">
            <v>-261255</v>
          </cell>
          <cell r="AP67">
            <v>-261345</v>
          </cell>
          <cell r="AQ67">
            <v>-640712.64</v>
          </cell>
          <cell r="AR67">
            <v>-2308445.77</v>
          </cell>
          <cell r="AS67">
            <v>-3931293.06</v>
          </cell>
          <cell r="AT67">
            <v>-2217053</v>
          </cell>
          <cell r="AU67">
            <v>455219</v>
          </cell>
          <cell r="AV67">
            <v>62223</v>
          </cell>
          <cell r="AW67">
            <v>216217</v>
          </cell>
          <cell r="AX67">
            <v>-824732</v>
          </cell>
          <cell r="AY67">
            <v>-120994</v>
          </cell>
          <cell r="AZ67">
            <v>-181654</v>
          </cell>
          <cell r="BA67">
            <v>-449980.5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-1564032</v>
          </cell>
          <cell r="BI67">
            <v>0</v>
          </cell>
          <cell r="BJ67">
            <v>0</v>
          </cell>
          <cell r="BK67">
            <v>0</v>
          </cell>
        </row>
        <row r="68">
          <cell r="C68" t="str">
            <v>4.0.13</v>
          </cell>
          <cell r="D68" t="str">
            <v>EU Aid Volunteers initiative (EUAV)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12677000</v>
          </cell>
          <cell r="J68">
            <v>7446000</v>
          </cell>
          <cell r="K68">
            <v>9283500</v>
          </cell>
          <cell r="L68">
            <v>17433237</v>
          </cell>
          <cell r="M68">
            <v>20142368.73</v>
          </cell>
          <cell r="N68">
            <v>18846771.030000001</v>
          </cell>
          <cell r="O68">
            <v>20611000</v>
          </cell>
          <cell r="P68">
            <v>0</v>
          </cell>
          <cell r="Q68">
            <v>12602000</v>
          </cell>
          <cell r="R68">
            <v>7446000</v>
          </cell>
          <cell r="S68">
            <v>9107964.4700000007</v>
          </cell>
          <cell r="T68">
            <v>17400075</v>
          </cell>
          <cell r="U68">
            <v>20142261</v>
          </cell>
          <cell r="V68">
            <v>18846621.030000001</v>
          </cell>
          <cell r="W68">
            <v>0</v>
          </cell>
          <cell r="X68">
            <v>0</v>
          </cell>
          <cell r="Y68">
            <v>2811763</v>
          </cell>
          <cell r="Z68">
            <v>1391812</v>
          </cell>
          <cell r="AA68">
            <v>7337303</v>
          </cell>
          <cell r="AB68">
            <v>16879475</v>
          </cell>
          <cell r="AC68">
            <v>16011266</v>
          </cell>
          <cell r="AD68">
            <v>12661265</v>
          </cell>
          <cell r="AE68">
            <v>18840960</v>
          </cell>
          <cell r="AF68">
            <v>11602404</v>
          </cell>
          <cell r="AG68">
            <v>5066943</v>
          </cell>
          <cell r="AH68">
            <v>1417500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-131031</v>
          </cell>
          <cell r="AO68">
            <v>-23450</v>
          </cell>
          <cell r="AP68">
            <v>0</v>
          </cell>
          <cell r="AQ68">
            <v>-101716.06</v>
          </cell>
          <cell r="AR68">
            <v>-416911.7</v>
          </cell>
          <cell r="AS68">
            <v>-7069984.0800000001</v>
          </cell>
          <cell r="AT68">
            <v>-12718411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4277</v>
          </cell>
          <cell r="BA68">
            <v>-5258.87</v>
          </cell>
          <cell r="BB68">
            <v>0</v>
          </cell>
          <cell r="BC68">
            <v>0</v>
          </cell>
          <cell r="BD68">
            <v>-2357763</v>
          </cell>
          <cell r="BE68">
            <v>0</v>
          </cell>
          <cell r="BF68">
            <v>0</v>
          </cell>
          <cell r="BG68">
            <v>0</v>
          </cell>
          <cell r="BH68">
            <v>-298865</v>
          </cell>
          <cell r="BI68">
            <v>0</v>
          </cell>
          <cell r="BJ68">
            <v>0</v>
          </cell>
          <cell r="BK68">
            <v>0</v>
          </cell>
        </row>
        <row r="69">
          <cell r="C69" t="str">
            <v>4.0.14</v>
          </cell>
          <cell r="D69" t="str">
            <v>European Fund for Sustainable Development (EFSD)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275000000</v>
          </cell>
          <cell r="M69">
            <v>25000000</v>
          </cell>
          <cell r="N69">
            <v>25000000</v>
          </cell>
          <cell r="O69">
            <v>1065000000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275000000</v>
          </cell>
          <cell r="U69">
            <v>25000000</v>
          </cell>
          <cell r="V69">
            <v>25000000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275000000</v>
          </cell>
          <cell r="AC69">
            <v>25000000</v>
          </cell>
          <cell r="AD69">
            <v>25000000</v>
          </cell>
          <cell r="AE69">
            <v>1065000000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-275000000</v>
          </cell>
          <cell r="BI69">
            <v>-25000000</v>
          </cell>
          <cell r="BJ69">
            <v>0</v>
          </cell>
          <cell r="BK69">
            <v>0</v>
          </cell>
        </row>
        <row r="70">
          <cell r="C70" t="str">
            <v>4.0.2</v>
          </cell>
          <cell r="D70" t="str">
            <v>European Neighbourhood Instrument (ENI)</v>
          </cell>
          <cell r="E70">
            <v>6488151</v>
          </cell>
          <cell r="F70">
            <v>6488151</v>
          </cell>
          <cell r="G70">
            <v>0</v>
          </cell>
          <cell r="H70">
            <v>0</v>
          </cell>
          <cell r="I70">
            <v>2315044999</v>
          </cell>
          <cell r="J70">
            <v>2385811181</v>
          </cell>
          <cell r="K70">
            <v>2325019007</v>
          </cell>
          <cell r="L70">
            <v>2480716566</v>
          </cell>
          <cell r="M70">
            <v>2478395542</v>
          </cell>
          <cell r="N70">
            <v>2737998296</v>
          </cell>
          <cell r="O70">
            <v>2770809332</v>
          </cell>
          <cell r="P70">
            <v>0</v>
          </cell>
          <cell r="Q70">
            <v>2314671872</v>
          </cell>
          <cell r="R70">
            <v>2385480322</v>
          </cell>
          <cell r="S70">
            <v>2324913278</v>
          </cell>
          <cell r="T70">
            <v>2480685888</v>
          </cell>
          <cell r="U70">
            <v>2478038324</v>
          </cell>
          <cell r="V70">
            <v>2737510555</v>
          </cell>
          <cell r="W70">
            <v>0</v>
          </cell>
          <cell r="X70">
            <v>0</v>
          </cell>
          <cell r="Y70">
            <v>455200203</v>
          </cell>
          <cell r="Z70">
            <v>618411060</v>
          </cell>
          <cell r="AA70">
            <v>1204744052</v>
          </cell>
          <cell r="AB70">
            <v>1403188609</v>
          </cell>
          <cell r="AC70">
            <v>1727642907</v>
          </cell>
          <cell r="AD70">
            <v>1870121269</v>
          </cell>
          <cell r="AE70">
            <v>1930587430</v>
          </cell>
          <cell r="AF70">
            <v>1878674758</v>
          </cell>
          <cell r="AG70">
            <v>1832624004</v>
          </cell>
          <cell r="AH70">
            <v>1662555538</v>
          </cell>
          <cell r="AI70">
            <v>1367888391</v>
          </cell>
          <cell r="AJ70">
            <v>1166379735</v>
          </cell>
          <cell r="AK70">
            <v>843217239</v>
          </cell>
          <cell r="AL70">
            <v>0</v>
          </cell>
          <cell r="AM70">
            <v>-287820</v>
          </cell>
          <cell r="AN70">
            <v>-541273</v>
          </cell>
          <cell r="AO70">
            <v>-8282104</v>
          </cell>
          <cell r="AP70">
            <v>-52771736</v>
          </cell>
          <cell r="AQ70">
            <v>-60765330.649999999</v>
          </cell>
          <cell r="AR70">
            <v>-187480815.90000001</v>
          </cell>
          <cell r="AS70">
            <v>-120932777.03</v>
          </cell>
          <cell r="AT70">
            <v>-16424586</v>
          </cell>
          <cell r="AU70">
            <v>34467637</v>
          </cell>
          <cell r="AV70">
            <v>32219579</v>
          </cell>
          <cell r="AW70">
            <v>23114585</v>
          </cell>
          <cell r="AX70">
            <v>23839318</v>
          </cell>
          <cell r="AY70">
            <v>-2143093</v>
          </cell>
          <cell r="AZ70">
            <v>15098696</v>
          </cell>
          <cell r="BA70">
            <v>986691.73</v>
          </cell>
          <cell r="BB70">
            <v>0</v>
          </cell>
          <cell r="BC70">
            <v>-6211095</v>
          </cell>
          <cell r="BD70">
            <v>-6961619</v>
          </cell>
          <cell r="BE70">
            <v>-5823775</v>
          </cell>
          <cell r="BF70">
            <v>-4679102</v>
          </cell>
          <cell r="BG70">
            <v>0</v>
          </cell>
          <cell r="BH70">
            <v>-4788987</v>
          </cell>
          <cell r="BI70">
            <v>-4050687.04</v>
          </cell>
          <cell r="BJ70">
            <v>-6070245.5</v>
          </cell>
          <cell r="BK70">
            <v>0</v>
          </cell>
        </row>
        <row r="71">
          <cell r="C71" t="str">
            <v>4.0.3</v>
          </cell>
          <cell r="D71" t="str">
            <v>Development Cooperation Instrument (DCI)</v>
          </cell>
          <cell r="E71">
            <v>10440184</v>
          </cell>
          <cell r="F71">
            <v>10440184</v>
          </cell>
          <cell r="G71">
            <v>0</v>
          </cell>
          <cell r="H71">
            <v>0</v>
          </cell>
          <cell r="I71">
            <v>2344985663</v>
          </cell>
          <cell r="J71">
            <v>2447443297</v>
          </cell>
          <cell r="K71">
            <v>2635599297</v>
          </cell>
          <cell r="L71">
            <v>3151005310</v>
          </cell>
          <cell r="M71">
            <v>2980783345</v>
          </cell>
          <cell r="N71">
            <v>3204607269</v>
          </cell>
          <cell r="O71">
            <v>3272459297</v>
          </cell>
          <cell r="P71">
            <v>0</v>
          </cell>
          <cell r="Q71">
            <v>2344674748</v>
          </cell>
          <cell r="R71">
            <v>2447435584</v>
          </cell>
          <cell r="S71">
            <v>2635565565</v>
          </cell>
          <cell r="T71">
            <v>3150946286</v>
          </cell>
          <cell r="U71">
            <v>2980689739</v>
          </cell>
          <cell r="V71">
            <v>3204452228</v>
          </cell>
          <cell r="W71">
            <v>0</v>
          </cell>
          <cell r="X71">
            <v>0</v>
          </cell>
          <cell r="Y71">
            <v>106208994</v>
          </cell>
          <cell r="Z71">
            <v>406835564</v>
          </cell>
          <cell r="AA71">
            <v>1227742970</v>
          </cell>
          <cell r="AB71">
            <v>1817502657</v>
          </cell>
          <cell r="AC71">
            <v>2199499538</v>
          </cell>
          <cell r="AD71">
            <v>2404123744</v>
          </cell>
          <cell r="AE71">
            <v>2597462319</v>
          </cell>
          <cell r="AF71">
            <v>2408292590</v>
          </cell>
          <cell r="AG71">
            <v>2706918820</v>
          </cell>
          <cell r="AH71">
            <v>2483409460</v>
          </cell>
          <cell r="AI71">
            <v>1291931607</v>
          </cell>
          <cell r="AJ71">
            <v>334449045</v>
          </cell>
          <cell r="AK71">
            <v>100806229</v>
          </cell>
          <cell r="AL71">
            <v>0</v>
          </cell>
          <cell r="AM71">
            <v>-2050854</v>
          </cell>
          <cell r="AN71">
            <v>-3024351</v>
          </cell>
          <cell r="AO71">
            <v>-18181547</v>
          </cell>
          <cell r="AP71">
            <v>-20258176</v>
          </cell>
          <cell r="AQ71">
            <v>-44409638.640000001</v>
          </cell>
          <cell r="AR71">
            <v>-43021233.149999999</v>
          </cell>
          <cell r="AS71">
            <v>-20896861.91</v>
          </cell>
          <cell r="AT71">
            <v>-13909122</v>
          </cell>
          <cell r="AU71">
            <v>12398886</v>
          </cell>
          <cell r="AV71">
            <v>33281803</v>
          </cell>
          <cell r="AW71">
            <v>31624977</v>
          </cell>
          <cell r="AX71">
            <v>9463420</v>
          </cell>
          <cell r="AY71">
            <v>-8585742</v>
          </cell>
          <cell r="AZ71">
            <v>15215563</v>
          </cell>
          <cell r="BA71">
            <v>-3612083.98</v>
          </cell>
          <cell r="BB71">
            <v>0</v>
          </cell>
          <cell r="BC71">
            <v>-8536699</v>
          </cell>
          <cell r="BD71">
            <v>-7041586</v>
          </cell>
          <cell r="BE71">
            <v>-8192669</v>
          </cell>
          <cell r="BF71">
            <v>-11809764</v>
          </cell>
          <cell r="BG71">
            <v>0</v>
          </cell>
          <cell r="BH71">
            <v>-11939738</v>
          </cell>
          <cell r="BI71">
            <v>-14464533.34</v>
          </cell>
          <cell r="BJ71">
            <v>-13049005.039999999</v>
          </cell>
          <cell r="BK71">
            <v>0</v>
          </cell>
        </row>
        <row r="72">
          <cell r="C72" t="str">
            <v>4.0.4</v>
          </cell>
          <cell r="D72" t="str">
            <v>Partnership Instrument (PI)</v>
          </cell>
          <cell r="E72">
            <v>37353</v>
          </cell>
          <cell r="F72">
            <v>37353</v>
          </cell>
          <cell r="G72">
            <v>0</v>
          </cell>
          <cell r="H72">
            <v>0</v>
          </cell>
          <cell r="I72">
            <v>119890842</v>
          </cell>
          <cell r="J72">
            <v>117998000</v>
          </cell>
          <cell r="K72">
            <v>127453000</v>
          </cell>
          <cell r="L72">
            <v>138213000</v>
          </cell>
          <cell r="M72">
            <v>144857500</v>
          </cell>
          <cell r="N72">
            <v>149010227.59999999</v>
          </cell>
          <cell r="O72">
            <v>162284000</v>
          </cell>
          <cell r="P72">
            <v>0</v>
          </cell>
          <cell r="Q72">
            <v>119558688.5</v>
          </cell>
          <cell r="R72">
            <v>117970924.5</v>
          </cell>
          <cell r="S72">
            <v>127452851.5</v>
          </cell>
          <cell r="T72">
            <v>138172940</v>
          </cell>
          <cell r="U72">
            <v>144796406</v>
          </cell>
          <cell r="V72">
            <v>149009069.19999999</v>
          </cell>
          <cell r="W72">
            <v>0</v>
          </cell>
          <cell r="X72">
            <v>0</v>
          </cell>
          <cell r="Y72">
            <v>3881347</v>
          </cell>
          <cell r="Z72">
            <v>29595128</v>
          </cell>
          <cell r="AA72">
            <v>55786419</v>
          </cell>
          <cell r="AB72">
            <v>76095312</v>
          </cell>
          <cell r="AC72">
            <v>116689799</v>
          </cell>
          <cell r="AD72">
            <v>130866366</v>
          </cell>
          <cell r="AE72">
            <v>130241724</v>
          </cell>
          <cell r="AF72">
            <v>129776070</v>
          </cell>
          <cell r="AG72">
            <v>126474354</v>
          </cell>
          <cell r="AH72">
            <v>126323353</v>
          </cell>
          <cell r="AI72">
            <v>33468242</v>
          </cell>
          <cell r="AJ72">
            <v>0</v>
          </cell>
          <cell r="AK72">
            <v>0</v>
          </cell>
          <cell r="AL72">
            <v>0</v>
          </cell>
          <cell r="AM72">
            <v>-510371</v>
          </cell>
          <cell r="AN72">
            <v>-270984</v>
          </cell>
          <cell r="AO72">
            <v>-541572</v>
          </cell>
          <cell r="AP72">
            <v>-1180355</v>
          </cell>
          <cell r="AQ72">
            <v>-704143.88</v>
          </cell>
          <cell r="AR72">
            <v>-222650.49</v>
          </cell>
          <cell r="AS72">
            <v>-585639.21</v>
          </cell>
          <cell r="AT72">
            <v>-721771</v>
          </cell>
          <cell r="AU72">
            <v>249683</v>
          </cell>
          <cell r="AV72">
            <v>-5055</v>
          </cell>
          <cell r="AW72">
            <v>1037448</v>
          </cell>
          <cell r="AX72">
            <v>598393</v>
          </cell>
          <cell r="AY72">
            <v>-1385486</v>
          </cell>
          <cell r="AZ72">
            <v>3846645</v>
          </cell>
          <cell r="BA72">
            <v>-63583.06</v>
          </cell>
          <cell r="BB72">
            <v>0</v>
          </cell>
          <cell r="BC72">
            <v>-37353</v>
          </cell>
          <cell r="BD72">
            <v>-934650</v>
          </cell>
          <cell r="BE72">
            <v>-498306</v>
          </cell>
          <cell r="BF72">
            <v>-530097</v>
          </cell>
          <cell r="BG72">
            <v>0</v>
          </cell>
          <cell r="BH72">
            <v>-282432</v>
          </cell>
          <cell r="BI72">
            <v>-234693</v>
          </cell>
          <cell r="BJ72">
            <v>-358447.82</v>
          </cell>
          <cell r="BK72">
            <v>0</v>
          </cell>
        </row>
        <row r="73">
          <cell r="C73" t="str">
            <v>4.0.5</v>
          </cell>
          <cell r="D73" t="str">
            <v>European Instrument for Democracy and Human Rights (EIDHR)</v>
          </cell>
          <cell r="E73">
            <v>2559819</v>
          </cell>
          <cell r="F73">
            <v>2559819</v>
          </cell>
          <cell r="G73">
            <v>0</v>
          </cell>
          <cell r="H73">
            <v>0</v>
          </cell>
          <cell r="I73">
            <v>184193699</v>
          </cell>
          <cell r="J73">
            <v>171865927</v>
          </cell>
          <cell r="K73">
            <v>170840584</v>
          </cell>
          <cell r="L73">
            <v>184497927</v>
          </cell>
          <cell r="M73">
            <v>188140231</v>
          </cell>
          <cell r="N73">
            <v>178828438</v>
          </cell>
          <cell r="O73">
            <v>196253927</v>
          </cell>
          <cell r="P73">
            <v>0</v>
          </cell>
          <cell r="Q73">
            <v>184191343</v>
          </cell>
          <cell r="R73">
            <v>171860513.19999999</v>
          </cell>
          <cell r="S73">
            <v>170798299.09999999</v>
          </cell>
          <cell r="T73">
            <v>184464079</v>
          </cell>
          <cell r="U73">
            <v>188001595</v>
          </cell>
          <cell r="V73">
            <v>178797685.80000001</v>
          </cell>
          <cell r="W73">
            <v>0</v>
          </cell>
          <cell r="X73">
            <v>0</v>
          </cell>
          <cell r="Y73">
            <v>29028709</v>
          </cell>
          <cell r="Z73">
            <v>67755843</v>
          </cell>
          <cell r="AA73">
            <v>112130864</v>
          </cell>
          <cell r="AB73">
            <v>145632095</v>
          </cell>
          <cell r="AC73">
            <v>186678999</v>
          </cell>
          <cell r="AD73">
            <v>160495499</v>
          </cell>
          <cell r="AE73">
            <v>173597220</v>
          </cell>
          <cell r="AF73">
            <v>128673249</v>
          </cell>
          <cell r="AG73">
            <v>87233870</v>
          </cell>
          <cell r="AH73">
            <v>71360468</v>
          </cell>
          <cell r="AI73">
            <v>29173936</v>
          </cell>
          <cell r="AJ73">
            <v>11794184</v>
          </cell>
          <cell r="AK73">
            <v>12955852</v>
          </cell>
          <cell r="AL73">
            <v>0</v>
          </cell>
          <cell r="AM73">
            <v>-735679</v>
          </cell>
          <cell r="AN73">
            <v>-24970372</v>
          </cell>
          <cell r="AO73">
            <v>-3591482</v>
          </cell>
          <cell r="AP73">
            <v>-651686</v>
          </cell>
          <cell r="AQ73">
            <v>-1546370</v>
          </cell>
          <cell r="AR73">
            <v>-741689.8</v>
          </cell>
          <cell r="AS73">
            <v>-16575229.43</v>
          </cell>
          <cell r="AT73">
            <v>-38938373</v>
          </cell>
          <cell r="AU73">
            <v>979161</v>
          </cell>
          <cell r="AV73">
            <v>617986</v>
          </cell>
          <cell r="AW73">
            <v>817704</v>
          </cell>
          <cell r="AX73">
            <v>2389372</v>
          </cell>
          <cell r="AY73">
            <v>755469</v>
          </cell>
          <cell r="AZ73">
            <v>373216</v>
          </cell>
          <cell r="BA73">
            <v>-479366.46</v>
          </cell>
          <cell r="BB73">
            <v>0</v>
          </cell>
          <cell r="BC73">
            <v>-1849750</v>
          </cell>
          <cell r="BD73">
            <v>-2511877</v>
          </cell>
          <cell r="BE73">
            <v>-2530766</v>
          </cell>
          <cell r="BF73">
            <v>-2642228</v>
          </cell>
          <cell r="BG73">
            <v>0</v>
          </cell>
          <cell r="BH73">
            <v>-2430557</v>
          </cell>
          <cell r="BI73">
            <v>-2551800.27</v>
          </cell>
          <cell r="BJ73">
            <v>-2881847.28</v>
          </cell>
          <cell r="BK73">
            <v>0</v>
          </cell>
        </row>
        <row r="74">
          <cell r="C74" t="str">
            <v>4.0.6</v>
          </cell>
          <cell r="D74" t="str">
            <v>Instrument contributing to Stability and Peace (IcSP)</v>
          </cell>
          <cell r="E74">
            <v>2880021</v>
          </cell>
          <cell r="F74">
            <v>2880021</v>
          </cell>
          <cell r="G74">
            <v>0</v>
          </cell>
          <cell r="H74">
            <v>0</v>
          </cell>
          <cell r="I74">
            <v>276750528</v>
          </cell>
          <cell r="J74">
            <v>330396177</v>
          </cell>
          <cell r="K74">
            <v>344810177</v>
          </cell>
          <cell r="L74">
            <v>260280000</v>
          </cell>
          <cell r="M74">
            <v>369504758</v>
          </cell>
          <cell r="N74">
            <v>376903212.39999998</v>
          </cell>
          <cell r="O74">
            <v>393807177</v>
          </cell>
          <cell r="P74">
            <v>0</v>
          </cell>
          <cell r="Q74">
            <v>276737000.39999998</v>
          </cell>
          <cell r="R74">
            <v>330370835.60000002</v>
          </cell>
          <cell r="S74">
            <v>344809949.60000002</v>
          </cell>
          <cell r="T74">
            <v>260246329</v>
          </cell>
          <cell r="U74">
            <v>369430999</v>
          </cell>
          <cell r="V74">
            <v>376895677.19999999</v>
          </cell>
          <cell r="W74">
            <v>0</v>
          </cell>
          <cell r="X74">
            <v>0</v>
          </cell>
          <cell r="Y74">
            <v>32336603</v>
          </cell>
          <cell r="Z74">
            <v>146565731</v>
          </cell>
          <cell r="AA74">
            <v>268647268</v>
          </cell>
          <cell r="AB74">
            <v>230920691</v>
          </cell>
          <cell r="AC74">
            <v>308170369</v>
          </cell>
          <cell r="AD74">
            <v>312444166</v>
          </cell>
          <cell r="AE74">
            <v>344700000</v>
          </cell>
          <cell r="AF74">
            <v>236010459</v>
          </cell>
          <cell r="AG74">
            <v>226583347</v>
          </cell>
          <cell r="AH74">
            <v>159352813</v>
          </cell>
          <cell r="AI74">
            <v>33309727</v>
          </cell>
          <cell r="AJ74">
            <v>10532698</v>
          </cell>
          <cell r="AK74">
            <v>0</v>
          </cell>
          <cell r="AL74">
            <v>0</v>
          </cell>
          <cell r="AM74">
            <v>-813702</v>
          </cell>
          <cell r="AN74">
            <v>-440700</v>
          </cell>
          <cell r="AO74">
            <v>-1986597</v>
          </cell>
          <cell r="AP74">
            <v>-539279</v>
          </cell>
          <cell r="AQ74">
            <v>-3354035.5</v>
          </cell>
          <cell r="AR74">
            <v>-7242257.4900000002</v>
          </cell>
          <cell r="AS74">
            <v>-34441938.369999997</v>
          </cell>
          <cell r="AT74">
            <v>-33158494</v>
          </cell>
          <cell r="AU74">
            <v>68588</v>
          </cell>
          <cell r="AV74">
            <v>360066</v>
          </cell>
          <cell r="AW74">
            <v>-1698082</v>
          </cell>
          <cell r="AX74">
            <v>4847243</v>
          </cell>
          <cell r="AY74">
            <v>-6241362</v>
          </cell>
          <cell r="AZ74">
            <v>5001078</v>
          </cell>
          <cell r="BA74">
            <v>-58833.47</v>
          </cell>
          <cell r="BB74">
            <v>0</v>
          </cell>
          <cell r="BC74">
            <v>-2068788</v>
          </cell>
          <cell r="BD74">
            <v>-2015710</v>
          </cell>
          <cell r="BE74">
            <v>-2164525</v>
          </cell>
          <cell r="BF74">
            <v>-2293622</v>
          </cell>
          <cell r="BG74">
            <v>0</v>
          </cell>
          <cell r="BH74">
            <v>-2305243</v>
          </cell>
          <cell r="BI74">
            <v>-2517455.4300000002</v>
          </cell>
          <cell r="BJ74">
            <v>-3486569.14</v>
          </cell>
          <cell r="BK74">
            <v>0</v>
          </cell>
        </row>
        <row r="75">
          <cell r="C75" t="str">
            <v>4.0.7</v>
          </cell>
          <cell r="D75" t="str">
            <v>Humanitarian aid</v>
          </cell>
          <cell r="E75">
            <v>867737720</v>
          </cell>
          <cell r="F75">
            <v>867737720</v>
          </cell>
          <cell r="G75">
            <v>861905516</v>
          </cell>
          <cell r="H75">
            <v>0</v>
          </cell>
          <cell r="I75">
            <v>1081676000</v>
          </cell>
          <cell r="J75">
            <v>1096938134</v>
          </cell>
          <cell r="K75">
            <v>1384137370</v>
          </cell>
          <cell r="L75">
            <v>1280050421</v>
          </cell>
          <cell r="M75">
            <v>1417498063</v>
          </cell>
          <cell r="N75">
            <v>1966449781</v>
          </cell>
          <cell r="O75">
            <v>1586824000</v>
          </cell>
          <cell r="P75">
            <v>0</v>
          </cell>
          <cell r="Q75">
            <v>1280598799</v>
          </cell>
          <cell r="R75">
            <v>1316306744</v>
          </cell>
          <cell r="S75">
            <v>1482742736</v>
          </cell>
          <cell r="T75">
            <v>1341755787</v>
          </cell>
          <cell r="U75">
            <v>1451549851</v>
          </cell>
          <cell r="V75">
            <v>2012051897</v>
          </cell>
          <cell r="W75">
            <v>0</v>
          </cell>
          <cell r="X75">
            <v>0</v>
          </cell>
          <cell r="Y75">
            <v>1353427590</v>
          </cell>
          <cell r="Z75">
            <v>1206558719</v>
          </cell>
          <cell r="AA75">
            <v>1662412118</v>
          </cell>
          <cell r="AB75">
            <v>1392585556</v>
          </cell>
          <cell r="AC75">
            <v>1442828795</v>
          </cell>
          <cell r="AD75">
            <v>1740169007</v>
          </cell>
          <cell r="AE75">
            <v>1275289221</v>
          </cell>
          <cell r="AF75">
            <v>754715400</v>
          </cell>
          <cell r="AG75">
            <v>377533369</v>
          </cell>
          <cell r="AH75">
            <v>105624011</v>
          </cell>
          <cell r="AI75">
            <v>5450000</v>
          </cell>
          <cell r="AJ75">
            <v>0</v>
          </cell>
          <cell r="AK75">
            <v>225996420</v>
          </cell>
          <cell r="AL75">
            <v>0</v>
          </cell>
          <cell r="AM75">
            <v>-218858</v>
          </cell>
          <cell r="AN75">
            <v>-243352</v>
          </cell>
          <cell r="AO75">
            <v>-213507</v>
          </cell>
          <cell r="AP75">
            <v>-41337254</v>
          </cell>
          <cell r="AQ75">
            <v>-31519960.789999999</v>
          </cell>
          <cell r="AR75">
            <v>-35224091.009999998</v>
          </cell>
          <cell r="AS75">
            <v>-23298512.280000001</v>
          </cell>
          <cell r="AT75">
            <v>-41215975</v>
          </cell>
          <cell r="AU75">
            <v>-145168</v>
          </cell>
          <cell r="AV75">
            <v>39646475</v>
          </cell>
          <cell r="AW75">
            <v>30708451</v>
          </cell>
          <cell r="AX75">
            <v>8691594</v>
          </cell>
          <cell r="AY75">
            <v>6531762</v>
          </cell>
          <cell r="AZ75">
            <v>3485597</v>
          </cell>
          <cell r="BA75">
            <v>-738067.46</v>
          </cell>
          <cell r="BB75">
            <v>0</v>
          </cell>
          <cell r="BC75">
            <v>-5617639</v>
          </cell>
          <cell r="BD75">
            <v>193931883</v>
          </cell>
          <cell r="BE75">
            <v>214943899</v>
          </cell>
          <cell r="BF75">
            <v>8283686</v>
          </cell>
          <cell r="BG75">
            <v>0</v>
          </cell>
          <cell r="BH75">
            <v>56919587</v>
          </cell>
          <cell r="BI75">
            <v>28736435.02</v>
          </cell>
          <cell r="BJ75">
            <v>39820619.299999997</v>
          </cell>
          <cell r="BK75">
            <v>0</v>
          </cell>
        </row>
        <row r="76">
          <cell r="C76" t="str">
            <v>4.0.8</v>
          </cell>
          <cell r="D76" t="str">
            <v>Common Foreign and Security Policy (CFSP)</v>
          </cell>
          <cell r="E76">
            <v>261604990</v>
          </cell>
          <cell r="F76">
            <v>261604990</v>
          </cell>
          <cell r="G76">
            <v>261208856</v>
          </cell>
          <cell r="H76">
            <v>0</v>
          </cell>
          <cell r="I76">
            <v>301128000</v>
          </cell>
          <cell r="J76">
            <v>270146689</v>
          </cell>
          <cell r="K76">
            <v>202877089</v>
          </cell>
          <cell r="L76">
            <v>286770000</v>
          </cell>
          <cell r="M76">
            <v>348010000</v>
          </cell>
          <cell r="N76">
            <v>343184289</v>
          </cell>
          <cell r="O76">
            <v>351927000</v>
          </cell>
          <cell r="P76">
            <v>0</v>
          </cell>
          <cell r="Q76">
            <v>299379452.80000001</v>
          </cell>
          <cell r="R76">
            <v>242528561.5</v>
          </cell>
          <cell r="S76">
            <v>201251168.69999999</v>
          </cell>
          <cell r="T76">
            <v>286747991</v>
          </cell>
          <cell r="U76">
            <v>347941167</v>
          </cell>
          <cell r="V76">
            <v>343128598.10000002</v>
          </cell>
          <cell r="W76">
            <v>0</v>
          </cell>
          <cell r="X76">
            <v>0</v>
          </cell>
          <cell r="Y76">
            <v>244811508</v>
          </cell>
          <cell r="Z76">
            <v>260844910</v>
          </cell>
          <cell r="AA76">
            <v>218870073</v>
          </cell>
          <cell r="AB76">
            <v>258535823</v>
          </cell>
          <cell r="AC76">
            <v>291954958</v>
          </cell>
          <cell r="AD76">
            <v>308471598</v>
          </cell>
          <cell r="AE76">
            <v>328650000</v>
          </cell>
          <cell r="AF76">
            <v>38325746</v>
          </cell>
          <cell r="AG76">
            <v>13190091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-17940711</v>
          </cell>
          <cell r="AN76">
            <v>-31848497</v>
          </cell>
          <cell r="AO76">
            <v>-24698895</v>
          </cell>
          <cell r="AP76">
            <v>-10347039</v>
          </cell>
          <cell r="AQ76">
            <v>-31526628.52</v>
          </cell>
          <cell r="AR76">
            <v>-48742546.460000001</v>
          </cell>
          <cell r="AS76">
            <v>-63867734.009999998</v>
          </cell>
          <cell r="AT76">
            <v>-113153728</v>
          </cell>
          <cell r="AU76">
            <v>-4089807</v>
          </cell>
          <cell r="AV76">
            <v>4836574</v>
          </cell>
          <cell r="AW76">
            <v>62625</v>
          </cell>
          <cell r="AX76">
            <v>13441399</v>
          </cell>
          <cell r="AY76">
            <v>-1438070</v>
          </cell>
          <cell r="AZ76">
            <v>-14093154</v>
          </cell>
          <cell r="BA76">
            <v>1075028.42</v>
          </cell>
          <cell r="BB76">
            <v>0</v>
          </cell>
          <cell r="BC76">
            <v>4932025</v>
          </cell>
          <cell r="BD76">
            <v>14271945</v>
          </cell>
          <cell r="BE76">
            <v>16925848</v>
          </cell>
          <cell r="BF76">
            <v>7636840</v>
          </cell>
          <cell r="BG76">
            <v>0</v>
          </cell>
          <cell r="BH76">
            <v>-384166</v>
          </cell>
          <cell r="BI76">
            <v>-301920.51</v>
          </cell>
          <cell r="BJ76">
            <v>-249398.13</v>
          </cell>
          <cell r="BK76">
            <v>0</v>
          </cell>
        </row>
        <row r="77">
          <cell r="C77" t="str">
            <v>4.0.9</v>
          </cell>
          <cell r="D77" t="str">
            <v>Instrument for Nuclear Safety Cooperation (INSC)</v>
          </cell>
          <cell r="E77">
            <v>387041</v>
          </cell>
          <cell r="F77">
            <v>387041</v>
          </cell>
          <cell r="G77">
            <v>0</v>
          </cell>
          <cell r="H77">
            <v>0</v>
          </cell>
          <cell r="I77">
            <v>30546872</v>
          </cell>
          <cell r="J77">
            <v>61159000</v>
          </cell>
          <cell r="K77">
            <v>71802000</v>
          </cell>
          <cell r="L77">
            <v>51431000</v>
          </cell>
          <cell r="M77">
            <v>32967000</v>
          </cell>
          <cell r="N77">
            <v>33630000</v>
          </cell>
          <cell r="O77">
            <v>32885000</v>
          </cell>
          <cell r="P77">
            <v>0</v>
          </cell>
          <cell r="Q77">
            <v>30546872</v>
          </cell>
          <cell r="R77">
            <v>61157690.909999996</v>
          </cell>
          <cell r="S77">
            <v>71801345</v>
          </cell>
          <cell r="T77">
            <v>51430605</v>
          </cell>
          <cell r="U77">
            <v>32946685</v>
          </cell>
          <cell r="V77">
            <v>33608212.060000002</v>
          </cell>
          <cell r="W77">
            <v>0</v>
          </cell>
          <cell r="X77">
            <v>0</v>
          </cell>
          <cell r="Y77">
            <v>1184973</v>
          </cell>
          <cell r="Z77">
            <v>14293547</v>
          </cell>
          <cell r="AA77">
            <v>74223446</v>
          </cell>
          <cell r="AB77">
            <v>41682076</v>
          </cell>
          <cell r="AC77">
            <v>27090823</v>
          </cell>
          <cell r="AD77">
            <v>29505264</v>
          </cell>
          <cell r="AE77">
            <v>25190710</v>
          </cell>
          <cell r="AF77">
            <v>30886284</v>
          </cell>
          <cell r="AG77">
            <v>28329692</v>
          </cell>
          <cell r="AH77">
            <v>19468200</v>
          </cell>
          <cell r="AI77">
            <v>10338472</v>
          </cell>
          <cell r="AJ77">
            <v>8109571</v>
          </cell>
          <cell r="AK77">
            <v>4137365</v>
          </cell>
          <cell r="AL77">
            <v>0</v>
          </cell>
          <cell r="AM77">
            <v>-46751</v>
          </cell>
          <cell r="AN77">
            <v>-5691</v>
          </cell>
          <cell r="AO77">
            <v>-14407</v>
          </cell>
          <cell r="AP77">
            <v>-11994</v>
          </cell>
          <cell r="AQ77">
            <v>-9136.76</v>
          </cell>
          <cell r="AR77">
            <v>-31566.46</v>
          </cell>
          <cell r="AS77">
            <v>-230722.17</v>
          </cell>
          <cell r="AT77">
            <v>0</v>
          </cell>
          <cell r="AU77">
            <v>0</v>
          </cell>
          <cell r="AV77">
            <v>146146</v>
          </cell>
          <cell r="AW77">
            <v>0</v>
          </cell>
          <cell r="AX77">
            <v>852312</v>
          </cell>
          <cell r="AY77">
            <v>-852313</v>
          </cell>
          <cell r="AZ77">
            <v>0</v>
          </cell>
          <cell r="BA77">
            <v>0</v>
          </cell>
          <cell r="BB77">
            <v>0</v>
          </cell>
          <cell r="BC77">
            <v>-349626</v>
          </cell>
          <cell r="BD77">
            <v>-167593</v>
          </cell>
          <cell r="BE77">
            <v>-459524</v>
          </cell>
          <cell r="BF77">
            <v>-204341</v>
          </cell>
          <cell r="BG77">
            <v>0</v>
          </cell>
          <cell r="BH77">
            <v>-576337</v>
          </cell>
          <cell r="BI77">
            <v>-479745.21</v>
          </cell>
          <cell r="BJ77">
            <v>-524553.02</v>
          </cell>
          <cell r="BK77">
            <v>0</v>
          </cell>
        </row>
        <row r="78">
          <cell r="C78" t="str">
            <v>4.0.DAG</v>
          </cell>
          <cell r="D78" t="str">
            <v>Decentralised agencies</v>
          </cell>
          <cell r="E78">
            <v>2230173</v>
          </cell>
          <cell r="F78">
            <v>2230173</v>
          </cell>
          <cell r="G78">
            <v>2230173</v>
          </cell>
          <cell r="H78">
            <v>0</v>
          </cell>
          <cell r="I78">
            <v>20018500</v>
          </cell>
          <cell r="J78">
            <v>19945000</v>
          </cell>
          <cell r="K78">
            <v>19956000</v>
          </cell>
          <cell r="L78">
            <v>19771000</v>
          </cell>
          <cell r="M78">
            <v>20056297</v>
          </cell>
          <cell r="N78">
            <v>20488990</v>
          </cell>
          <cell r="O78">
            <v>20937022</v>
          </cell>
          <cell r="P78">
            <v>0</v>
          </cell>
          <cell r="Q78">
            <v>20018500</v>
          </cell>
          <cell r="R78">
            <v>19945000</v>
          </cell>
          <cell r="S78">
            <v>19956000</v>
          </cell>
          <cell r="T78">
            <v>19771000</v>
          </cell>
          <cell r="U78">
            <v>20056297</v>
          </cell>
          <cell r="V78">
            <v>20488990</v>
          </cell>
          <cell r="W78">
            <v>0</v>
          </cell>
          <cell r="X78">
            <v>0</v>
          </cell>
          <cell r="Y78">
            <v>20018131</v>
          </cell>
          <cell r="Z78">
            <v>19945000</v>
          </cell>
          <cell r="AA78">
            <v>19956000</v>
          </cell>
          <cell r="AB78">
            <v>19771000</v>
          </cell>
          <cell r="AC78">
            <v>20056297</v>
          </cell>
          <cell r="AD78">
            <v>20488990</v>
          </cell>
          <cell r="AE78">
            <v>20937022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-2230542</v>
          </cell>
          <cell r="AP78">
            <v>0</v>
          </cell>
          <cell r="AQ78">
            <v>0</v>
          </cell>
          <cell r="AR78">
            <v>0</v>
          </cell>
          <cell r="AS78">
            <v>-0.39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-20101.32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</row>
        <row r="79">
          <cell r="C79" t="str">
            <v>4.0.OTH</v>
          </cell>
          <cell r="D79" t="str">
            <v>Other actions and programmes</v>
          </cell>
          <cell r="E79">
            <v>136073609</v>
          </cell>
          <cell r="F79">
            <v>129462205</v>
          </cell>
          <cell r="G79">
            <v>129373117</v>
          </cell>
          <cell r="H79">
            <v>0</v>
          </cell>
          <cell r="I79">
            <v>67398447</v>
          </cell>
          <cell r="J79">
            <v>75799067</v>
          </cell>
          <cell r="K79">
            <v>75125518</v>
          </cell>
          <cell r="L79">
            <v>83080022</v>
          </cell>
          <cell r="M79">
            <v>79979435.819999993</v>
          </cell>
          <cell r="N79">
            <v>80708668.260000005</v>
          </cell>
          <cell r="O79">
            <v>84827890</v>
          </cell>
          <cell r="P79">
            <v>0</v>
          </cell>
          <cell r="Q79">
            <v>66813986.200000003</v>
          </cell>
          <cell r="R79">
            <v>74886477.549999997</v>
          </cell>
          <cell r="S79">
            <v>75095112.719999999</v>
          </cell>
          <cell r="T79">
            <v>82867460</v>
          </cell>
          <cell r="U79">
            <v>79857757</v>
          </cell>
          <cell r="V79">
            <v>80603954.469999999</v>
          </cell>
          <cell r="W79">
            <v>0</v>
          </cell>
          <cell r="X79">
            <v>0</v>
          </cell>
          <cell r="Y79">
            <v>45460773</v>
          </cell>
          <cell r="Z79">
            <v>58088310</v>
          </cell>
          <cell r="AA79">
            <v>72587360</v>
          </cell>
          <cell r="AB79">
            <v>63875812</v>
          </cell>
          <cell r="AC79">
            <v>69559229</v>
          </cell>
          <cell r="AD79">
            <v>76479554</v>
          </cell>
          <cell r="AE79">
            <v>85949890</v>
          </cell>
          <cell r="AF79">
            <v>33894000</v>
          </cell>
          <cell r="AG79">
            <v>33386322</v>
          </cell>
          <cell r="AH79">
            <v>25000000</v>
          </cell>
          <cell r="AI79">
            <v>21500000</v>
          </cell>
          <cell r="AJ79">
            <v>16500000</v>
          </cell>
          <cell r="AK79">
            <v>15113577</v>
          </cell>
          <cell r="AL79">
            <v>0</v>
          </cell>
          <cell r="AM79">
            <v>-34122684</v>
          </cell>
          <cell r="AN79">
            <v>0</v>
          </cell>
          <cell r="AO79">
            <v>-832715</v>
          </cell>
          <cell r="AP79">
            <v>-3238883</v>
          </cell>
          <cell r="AQ79">
            <v>-12615361.279999999</v>
          </cell>
          <cell r="AR79">
            <v>-4580121.45</v>
          </cell>
          <cell r="AS79">
            <v>-4704112.93</v>
          </cell>
          <cell r="AT79">
            <v>-1016895</v>
          </cell>
          <cell r="AU79">
            <v>-1564732</v>
          </cell>
          <cell r="AV79">
            <v>1397512</v>
          </cell>
          <cell r="AW79">
            <v>0</v>
          </cell>
          <cell r="AX79">
            <v>0</v>
          </cell>
          <cell r="AY79">
            <v>-290489</v>
          </cell>
          <cell r="AZ79">
            <v>-568087</v>
          </cell>
          <cell r="BA79">
            <v>0</v>
          </cell>
          <cell r="BB79">
            <v>0</v>
          </cell>
          <cell r="BC79">
            <v>-43818</v>
          </cell>
          <cell r="BD79">
            <v>-92236</v>
          </cell>
          <cell r="BE79">
            <v>-193529</v>
          </cell>
          <cell r="BF79">
            <v>-112999</v>
          </cell>
          <cell r="BG79">
            <v>0</v>
          </cell>
          <cell r="BH79">
            <v>-116438</v>
          </cell>
          <cell r="BI79">
            <v>-123434.27</v>
          </cell>
          <cell r="BJ79">
            <v>-83422.11</v>
          </cell>
          <cell r="BK79">
            <v>0</v>
          </cell>
        </row>
        <row r="80">
          <cell r="C80" t="str">
            <v>4.0.PPPA</v>
          </cell>
          <cell r="D80" t="str">
            <v>Pilot projects and preparatory actions</v>
          </cell>
          <cell r="E80">
            <v>42464480</v>
          </cell>
          <cell r="F80">
            <v>42464480</v>
          </cell>
          <cell r="G80">
            <v>42464480</v>
          </cell>
          <cell r="H80">
            <v>0</v>
          </cell>
          <cell r="I80">
            <v>14922550</v>
          </cell>
          <cell r="J80">
            <v>8990000</v>
          </cell>
          <cell r="K80">
            <v>2700000</v>
          </cell>
          <cell r="L80">
            <v>8250000</v>
          </cell>
          <cell r="M80">
            <v>2755100</v>
          </cell>
          <cell r="N80">
            <v>2275000</v>
          </cell>
          <cell r="O80">
            <v>4000000</v>
          </cell>
          <cell r="P80">
            <v>0</v>
          </cell>
          <cell r="Q80">
            <v>14240012</v>
          </cell>
          <cell r="R80">
            <v>8990000</v>
          </cell>
          <cell r="S80">
            <v>2700000</v>
          </cell>
          <cell r="T80">
            <v>8250000</v>
          </cell>
          <cell r="U80">
            <v>2755100</v>
          </cell>
          <cell r="V80">
            <v>2275000</v>
          </cell>
          <cell r="W80">
            <v>0</v>
          </cell>
          <cell r="X80">
            <v>0</v>
          </cell>
          <cell r="Y80">
            <v>13242484</v>
          </cell>
          <cell r="Z80">
            <v>13670539</v>
          </cell>
          <cell r="AA80">
            <v>13539316</v>
          </cell>
          <cell r="AB80">
            <v>8203124</v>
          </cell>
          <cell r="AC80">
            <v>8280171</v>
          </cell>
          <cell r="AD80">
            <v>6622744</v>
          </cell>
          <cell r="AE80">
            <v>3391653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-2158200</v>
          </cell>
          <cell r="AN80">
            <v>-2259519</v>
          </cell>
          <cell r="AO80">
            <v>-375031</v>
          </cell>
          <cell r="AP80">
            <v>-1528599</v>
          </cell>
          <cell r="AQ80">
            <v>-1031306.88</v>
          </cell>
          <cell r="AR80">
            <v>-2922173.03</v>
          </cell>
          <cell r="AS80">
            <v>-364304.65</v>
          </cell>
          <cell r="AT80">
            <v>0</v>
          </cell>
          <cell r="AU80">
            <v>1435</v>
          </cell>
          <cell r="AV80">
            <v>0</v>
          </cell>
          <cell r="AW80">
            <v>563</v>
          </cell>
          <cell r="AX80">
            <v>-69161</v>
          </cell>
          <cell r="AY80">
            <v>-79542</v>
          </cell>
          <cell r="AZ80">
            <v>0</v>
          </cell>
          <cell r="BA80">
            <v>0</v>
          </cell>
          <cell r="BB80">
            <v>0</v>
          </cell>
          <cell r="BC80">
            <v>825921</v>
          </cell>
          <cell r="BD80">
            <v>7250000</v>
          </cell>
          <cell r="BE80">
            <v>0</v>
          </cell>
          <cell r="BF80">
            <v>1000000</v>
          </cell>
          <cell r="BG80">
            <v>0</v>
          </cell>
          <cell r="BH80">
            <v>500000</v>
          </cell>
          <cell r="BI80">
            <v>0</v>
          </cell>
          <cell r="BJ80">
            <v>1195000</v>
          </cell>
          <cell r="BK80">
            <v>0</v>
          </cell>
        </row>
        <row r="81">
          <cell r="C81" t="str">
            <v>4.0.SPEC</v>
          </cell>
          <cell r="D81" t="str">
            <v>Actions financed under the prerogatives of the Commission and specific competences conferred to the Commission</v>
          </cell>
          <cell r="E81">
            <v>100884696</v>
          </cell>
          <cell r="F81">
            <v>100884696</v>
          </cell>
          <cell r="G81">
            <v>100884696</v>
          </cell>
          <cell r="H81">
            <v>0</v>
          </cell>
          <cell r="I81">
            <v>63481018</v>
          </cell>
          <cell r="J81">
            <v>62014200</v>
          </cell>
          <cell r="K81">
            <v>64062000</v>
          </cell>
          <cell r="L81">
            <v>66032923</v>
          </cell>
          <cell r="M81">
            <v>75452000</v>
          </cell>
          <cell r="N81">
            <v>80352000</v>
          </cell>
          <cell r="O81">
            <v>80740000</v>
          </cell>
          <cell r="P81">
            <v>0</v>
          </cell>
          <cell r="Q81">
            <v>61991660.43</v>
          </cell>
          <cell r="R81">
            <v>61373325.649999999</v>
          </cell>
          <cell r="S81">
            <v>64034671.909999996</v>
          </cell>
          <cell r="T81">
            <v>65827616</v>
          </cell>
          <cell r="U81">
            <v>75309767</v>
          </cell>
          <cell r="V81">
            <v>80352000</v>
          </cell>
          <cell r="W81">
            <v>0</v>
          </cell>
          <cell r="X81">
            <v>0</v>
          </cell>
          <cell r="Y81">
            <v>49490275</v>
          </cell>
          <cell r="Z81">
            <v>52882462</v>
          </cell>
          <cell r="AA81">
            <v>63649793</v>
          </cell>
          <cell r="AB81">
            <v>55011573</v>
          </cell>
          <cell r="AC81">
            <v>60332711</v>
          </cell>
          <cell r="AD81">
            <v>67523962</v>
          </cell>
          <cell r="AE81">
            <v>78183947</v>
          </cell>
          <cell r="AF81">
            <v>44305998</v>
          </cell>
          <cell r="AG81">
            <v>39604454</v>
          </cell>
          <cell r="AH81">
            <v>26811000</v>
          </cell>
          <cell r="AI81">
            <v>16950000</v>
          </cell>
          <cell r="AJ81">
            <v>8507355</v>
          </cell>
          <cell r="AK81">
            <v>1872538</v>
          </cell>
          <cell r="AL81">
            <v>0</v>
          </cell>
          <cell r="AM81">
            <v>-1419801</v>
          </cell>
          <cell r="AN81">
            <v>-8965524</v>
          </cell>
          <cell r="AO81">
            <v>-781984</v>
          </cell>
          <cell r="AP81">
            <v>-8699333</v>
          </cell>
          <cell r="AQ81">
            <v>-1703893.85</v>
          </cell>
          <cell r="AR81">
            <v>-3868312.26</v>
          </cell>
          <cell r="AS81">
            <v>-287855.19</v>
          </cell>
          <cell r="AT81">
            <v>5697031</v>
          </cell>
          <cell r="AU81">
            <v>28139</v>
          </cell>
          <cell r="AV81">
            <v>-36103</v>
          </cell>
          <cell r="AW81">
            <v>9020</v>
          </cell>
          <cell r="AX81">
            <v>-79777</v>
          </cell>
          <cell r="AY81">
            <v>80830</v>
          </cell>
          <cell r="AZ81">
            <v>-37958</v>
          </cell>
          <cell r="BA81">
            <v>-233599.96</v>
          </cell>
          <cell r="BB81">
            <v>0</v>
          </cell>
          <cell r="BC81">
            <v>0</v>
          </cell>
          <cell r="BD81">
            <v>-124292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C82" t="str">
            <v>5.1.1</v>
          </cell>
          <cell r="D82" t="str">
            <v>Pensions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1491420000</v>
          </cell>
          <cell r="J82">
            <v>1559080443</v>
          </cell>
          <cell r="K82">
            <v>1681461100</v>
          </cell>
          <cell r="L82">
            <v>1801856000</v>
          </cell>
          <cell r="M82">
            <v>1892740800</v>
          </cell>
          <cell r="N82">
            <v>2001947000</v>
          </cell>
          <cell r="O82">
            <v>2122986000</v>
          </cell>
          <cell r="P82">
            <v>0</v>
          </cell>
          <cell r="Q82">
            <v>1485567218</v>
          </cell>
          <cell r="R82">
            <v>1559078770</v>
          </cell>
          <cell r="S82">
            <v>1681377900</v>
          </cell>
          <cell r="T82">
            <v>1797101022</v>
          </cell>
          <cell r="U82">
            <v>1877276264</v>
          </cell>
          <cell r="V82">
            <v>1989949196</v>
          </cell>
          <cell r="W82">
            <v>0</v>
          </cell>
          <cell r="X82">
            <v>0</v>
          </cell>
          <cell r="Y82">
            <v>1485554180</v>
          </cell>
          <cell r="Z82">
            <v>1559078762</v>
          </cell>
          <cell r="AA82">
            <v>1681377900</v>
          </cell>
          <cell r="AB82">
            <v>1797101022</v>
          </cell>
          <cell r="AC82">
            <v>1877276264</v>
          </cell>
          <cell r="AD82">
            <v>1989942999</v>
          </cell>
          <cell r="AE82">
            <v>2122986000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-13037</v>
          </cell>
          <cell r="AN82">
            <v>-8</v>
          </cell>
          <cell r="AO82">
            <v>0</v>
          </cell>
          <cell r="AP82">
            <v>0</v>
          </cell>
          <cell r="AQ82">
            <v>0</v>
          </cell>
          <cell r="AR82">
            <v>-13196.75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7000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C83" t="str">
            <v>5.1.2</v>
          </cell>
          <cell r="D83">
            <v>0</v>
          </cell>
          <cell r="E83">
            <v>756486</v>
          </cell>
          <cell r="F83">
            <v>756486</v>
          </cell>
          <cell r="G83">
            <v>0</v>
          </cell>
          <cell r="H83">
            <v>0</v>
          </cell>
          <cell r="I83">
            <v>169525139</v>
          </cell>
          <cell r="J83">
            <v>162593086</v>
          </cell>
          <cell r="K83">
            <v>173946089</v>
          </cell>
          <cell r="L83">
            <v>183837428</v>
          </cell>
          <cell r="M83">
            <v>0</v>
          </cell>
          <cell r="N83">
            <v>0</v>
          </cell>
          <cell r="O83">
            <v>192904362</v>
          </cell>
          <cell r="P83">
            <v>0</v>
          </cell>
          <cell r="Q83">
            <v>169525137.30000001</v>
          </cell>
          <cell r="R83">
            <v>162593084.40000001</v>
          </cell>
          <cell r="S83">
            <v>173945306.80000001</v>
          </cell>
          <cell r="T83">
            <v>183837427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169525137</v>
          </cell>
          <cell r="Z83">
            <v>162695258</v>
          </cell>
          <cell r="AA83">
            <v>174446946</v>
          </cell>
          <cell r="AB83">
            <v>183831810</v>
          </cell>
          <cell r="AC83">
            <v>0</v>
          </cell>
          <cell r="AD83">
            <v>0</v>
          </cell>
          <cell r="AE83">
            <v>192904362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-263798</v>
          </cell>
          <cell r="AP83">
            <v>-1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365971</v>
          </cell>
          <cell r="AW83">
            <v>501640</v>
          </cell>
          <cell r="AX83">
            <v>-5617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-756486</v>
          </cell>
          <cell r="BD83">
            <v>-1885472</v>
          </cell>
          <cell r="BE83">
            <v>-375757</v>
          </cell>
          <cell r="BF83">
            <v>-507257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</row>
        <row r="84">
          <cell r="C84" t="str">
            <v>5.1.23</v>
          </cell>
          <cell r="D84" t="str">
            <v>European schools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177519075</v>
          </cell>
          <cell r="N84">
            <v>180686419.59999999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177519071</v>
          </cell>
          <cell r="V84">
            <v>180685417.19999999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250372</v>
          </cell>
          <cell r="AC84">
            <v>179730965</v>
          </cell>
          <cell r="AD84">
            <v>181055495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-0.15</v>
          </cell>
          <cell r="AR84">
            <v>0</v>
          </cell>
          <cell r="AS84">
            <v>-427079.3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250373</v>
          </cell>
          <cell r="AY84">
            <v>2211894</v>
          </cell>
          <cell r="AZ84">
            <v>370078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-250372</v>
          </cell>
          <cell r="BI84">
            <v>-2211893.5699999998</v>
          </cell>
          <cell r="BJ84">
            <v>-447001.7</v>
          </cell>
          <cell r="BK84">
            <v>0</v>
          </cell>
        </row>
        <row r="85">
          <cell r="C85" t="str">
            <v>5.2.11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224052069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225783000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225783000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</row>
        <row r="86">
          <cell r="C86" t="str">
            <v>5.2.121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590392338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701378000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701378000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</row>
        <row r="87">
          <cell r="C87" t="str">
            <v>5.2.122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238000178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318947000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318947000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</row>
        <row r="88">
          <cell r="C88" t="str">
            <v>5.2.123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19660915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24862000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24862000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</row>
        <row r="89">
          <cell r="C89" t="str">
            <v>5.2.131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47315218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65691000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65691000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</row>
        <row r="90">
          <cell r="C90" t="str">
            <v>5.2.132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39553991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57048000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57048000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</row>
        <row r="91">
          <cell r="C91" t="str">
            <v>5.2.141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106131824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33291000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33291000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C92" t="str">
            <v>5.2.142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157306178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194849000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194849000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</row>
        <row r="93">
          <cell r="C93" t="str">
            <v>5.2.15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30119053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35711500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35711500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</row>
        <row r="94">
          <cell r="C94" t="str">
            <v>5.2.16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107400240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120955500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120955500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</row>
        <row r="95">
          <cell r="C95" t="str">
            <v>5.2.17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94768859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130838000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130838000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</row>
        <row r="96">
          <cell r="C96" t="str">
            <v>5.2.1SPEC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100930880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128765000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128765000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</row>
        <row r="97">
          <cell r="C97" t="str">
            <v>5.2.1X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</row>
        <row r="98">
          <cell r="C98" t="str">
            <v>5.2.21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1230000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1125000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1125000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</row>
        <row r="99">
          <cell r="C99" t="str">
            <v>5.2.221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284021059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339243000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339243000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</row>
        <row r="100">
          <cell r="C100" t="str">
            <v>5.2.222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10528000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13341000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13341000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</row>
        <row r="101">
          <cell r="C101" t="str">
            <v>5.2.223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8149480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8137000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8137000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</row>
        <row r="102">
          <cell r="C102" t="str">
            <v>5.2.231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28418027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32426000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32426000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</row>
        <row r="103">
          <cell r="C103" t="str">
            <v>5.2.232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79774698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81685000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81685000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</row>
        <row r="104">
          <cell r="C104" t="str">
            <v>5.2.233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3052650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3510000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3510000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</row>
        <row r="105">
          <cell r="C105" t="str">
            <v>5.2.241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13532000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505000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505000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</row>
        <row r="106">
          <cell r="C106" t="str">
            <v>5.2.242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37705800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56139000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56139000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</row>
        <row r="107">
          <cell r="C107" t="str">
            <v>5.2.25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40205316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27443000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27443000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</row>
        <row r="108">
          <cell r="C108" t="str">
            <v>5.2.26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8935660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7280000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7280000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</row>
        <row r="109">
          <cell r="C109" t="str">
            <v>5.2.27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18649610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19799000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19799000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</row>
        <row r="110">
          <cell r="C110" t="str">
            <v>5.2.2X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</row>
        <row r="111">
          <cell r="C111" t="str">
            <v>5.2.3DAG</v>
          </cell>
          <cell r="D111" t="str">
            <v>Decentralised agencies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</row>
        <row r="112">
          <cell r="C112" t="str">
            <v>5.2.3PPPA</v>
          </cell>
          <cell r="D112" t="str">
            <v>Pilot projects and preparatory actions</v>
          </cell>
          <cell r="E112">
            <v>2390463</v>
          </cell>
          <cell r="F112">
            <v>2390463</v>
          </cell>
          <cell r="G112">
            <v>2390463</v>
          </cell>
          <cell r="H112">
            <v>0</v>
          </cell>
          <cell r="I112">
            <v>1500000</v>
          </cell>
          <cell r="J112">
            <v>3000000</v>
          </cell>
          <cell r="K112">
            <v>2100000</v>
          </cell>
          <cell r="L112">
            <v>4650000</v>
          </cell>
          <cell r="M112">
            <v>3500000</v>
          </cell>
          <cell r="N112">
            <v>4100000</v>
          </cell>
          <cell r="O112">
            <v>0</v>
          </cell>
          <cell r="P112">
            <v>0</v>
          </cell>
          <cell r="Q112">
            <v>0</v>
          </cell>
          <cell r="R112">
            <v>2999476.6</v>
          </cell>
          <cell r="S112">
            <v>1749920.97</v>
          </cell>
          <cell r="T112">
            <v>4637498</v>
          </cell>
          <cell r="U112">
            <v>3499905</v>
          </cell>
          <cell r="V112">
            <v>4100000</v>
          </cell>
          <cell r="W112">
            <v>0</v>
          </cell>
          <cell r="X112">
            <v>0</v>
          </cell>
          <cell r="Y112">
            <v>1976731</v>
          </cell>
          <cell r="Z112">
            <v>442320</v>
          </cell>
          <cell r="AA112">
            <v>2249301</v>
          </cell>
          <cell r="AB112">
            <v>1533539</v>
          </cell>
          <cell r="AC112">
            <v>2528793</v>
          </cell>
          <cell r="AD112">
            <v>4255703</v>
          </cell>
          <cell r="AE112">
            <v>3003210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-129681</v>
          </cell>
          <cell r="AN112">
            <v>-107088</v>
          </cell>
          <cell r="AO112">
            <v>-83101</v>
          </cell>
          <cell r="AP112">
            <v>-266936</v>
          </cell>
          <cell r="AQ112">
            <v>0</v>
          </cell>
          <cell r="AR112">
            <v>0</v>
          </cell>
          <cell r="AS112">
            <v>-679.07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25000</v>
          </cell>
          <cell r="AZ112">
            <v>-25317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-534172</v>
          </cell>
          <cell r="BI112">
            <v>-507776.9</v>
          </cell>
          <cell r="BJ112">
            <v>-445622.77</v>
          </cell>
          <cell r="BK112">
            <v>0</v>
          </cell>
        </row>
        <row r="113">
          <cell r="C113" t="str">
            <v>5.2.3X</v>
          </cell>
          <cell r="D113" t="str">
            <v>Commission administrative expenditure</v>
          </cell>
          <cell r="E113">
            <v>332140598</v>
          </cell>
          <cell r="F113">
            <v>327574711</v>
          </cell>
          <cell r="G113">
            <v>8970243</v>
          </cell>
          <cell r="H113">
            <v>0</v>
          </cell>
          <cell r="I113">
            <v>3210689504</v>
          </cell>
          <cell r="J113">
            <v>3269116871</v>
          </cell>
          <cell r="K113">
            <v>3315072491</v>
          </cell>
          <cell r="L113">
            <v>3483107928</v>
          </cell>
          <cell r="M113">
            <v>3570698432</v>
          </cell>
          <cell r="N113">
            <v>3640786946</v>
          </cell>
          <cell r="O113">
            <v>3731002367</v>
          </cell>
          <cell r="P113">
            <v>0</v>
          </cell>
          <cell r="Q113">
            <v>3212225147</v>
          </cell>
          <cell r="R113">
            <v>3267336176</v>
          </cell>
          <cell r="S113">
            <v>3314192165</v>
          </cell>
          <cell r="T113">
            <v>3445801505</v>
          </cell>
          <cell r="U113">
            <v>3548608156</v>
          </cell>
          <cell r="V113">
            <v>3589341392</v>
          </cell>
          <cell r="W113">
            <v>0</v>
          </cell>
          <cell r="X113">
            <v>0</v>
          </cell>
          <cell r="Y113">
            <v>3230630604</v>
          </cell>
          <cell r="Z113">
            <v>3281233020</v>
          </cell>
          <cell r="AA113">
            <v>3333052684</v>
          </cell>
          <cell r="AB113">
            <v>3462648986</v>
          </cell>
          <cell r="AC113">
            <v>3571236034</v>
          </cell>
          <cell r="AD113">
            <v>3630959860</v>
          </cell>
          <cell r="AE113">
            <v>3731002367</v>
          </cell>
          <cell r="AF113">
            <v>5552625</v>
          </cell>
          <cell r="AG113">
            <v>1500387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-26059403</v>
          </cell>
          <cell r="AN113">
            <v>-29211351</v>
          </cell>
          <cell r="AO113">
            <v>-22387578</v>
          </cell>
          <cell r="AP113">
            <v>-21185924</v>
          </cell>
          <cell r="AQ113">
            <v>-24905330.75</v>
          </cell>
          <cell r="AR113">
            <v>-26841036.59</v>
          </cell>
          <cell r="AS113">
            <v>-70101629.400000006</v>
          </cell>
          <cell r="AT113">
            <v>0</v>
          </cell>
          <cell r="AU113">
            <v>46419829</v>
          </cell>
          <cell r="AV113">
            <v>35150958</v>
          </cell>
          <cell r="AW113">
            <v>40241458</v>
          </cell>
          <cell r="AX113">
            <v>41046053</v>
          </cell>
          <cell r="AY113">
            <v>48381040</v>
          </cell>
          <cell r="AZ113">
            <v>43099428</v>
          </cell>
          <cell r="BA113">
            <v>82288304.439999998</v>
          </cell>
          <cell r="BB113">
            <v>0</v>
          </cell>
          <cell r="BC113">
            <v>-293682826</v>
          </cell>
          <cell r="BD113">
            <v>-270453477</v>
          </cell>
          <cell r="BE113">
            <v>-260917350</v>
          </cell>
          <cell r="BF113">
            <v>-269765125</v>
          </cell>
          <cell r="BG113">
            <v>0</v>
          </cell>
          <cell r="BH113">
            <v>-321679569</v>
          </cell>
          <cell r="BI113">
            <v>-331613233</v>
          </cell>
          <cell r="BJ113">
            <v>-327818595</v>
          </cell>
          <cell r="BK113">
            <v>0</v>
          </cell>
        </row>
        <row r="114">
          <cell r="C114" t="str">
            <v>5.2.41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34421500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36836000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36836000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</row>
        <row r="115">
          <cell r="C115" t="str">
            <v>5.2.421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210475500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268799000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268799000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</row>
        <row r="116">
          <cell r="C116" t="str">
            <v>5.2.422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6544000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9991000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9991000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</row>
        <row r="117">
          <cell r="C117" t="str">
            <v>5.2.423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7310000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7882500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7882500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</row>
        <row r="118">
          <cell r="C118" t="str">
            <v>5.2.431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10164000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13266000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13266000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</row>
        <row r="119">
          <cell r="C119" t="str">
            <v>5.2.432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10433000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17303500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17303500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</row>
        <row r="120">
          <cell r="C120" t="str">
            <v>5.2.433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113000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113000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</row>
        <row r="121">
          <cell r="C121" t="str">
            <v>5.2.441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42664500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40196000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40196000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</row>
        <row r="122">
          <cell r="C122" t="str">
            <v>5.2.442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18833500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25084000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25084000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</row>
        <row r="123">
          <cell r="C123" t="str">
            <v>5.2.45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788000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1003500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1003500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</row>
        <row r="124">
          <cell r="C124" t="str">
            <v>5.2.46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3145500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2142000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2142000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</row>
        <row r="125">
          <cell r="C125" t="str">
            <v>5.2.47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10536000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13917000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13917000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</row>
        <row r="126">
          <cell r="C126" t="str">
            <v>5.2.4SPEC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52000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59000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59000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</row>
        <row r="127">
          <cell r="C127" t="str">
            <v>5.2.4X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</row>
        <row r="128">
          <cell r="C128" t="str">
            <v>5.2.51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15190000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11751000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11751000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</row>
        <row r="129">
          <cell r="C129" t="str">
            <v>5.2.521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92254575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111107000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111107000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</row>
        <row r="130">
          <cell r="C130" t="str">
            <v>5.2.522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3845000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6739000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6739000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C131" t="str">
            <v>5.2.523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3484000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3318000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3318000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</row>
        <row r="132">
          <cell r="C132" t="str">
            <v>5.2.531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4676000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5000000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5000000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</row>
        <row r="133">
          <cell r="C133" t="str">
            <v>5.2.532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346000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664000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664000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</row>
        <row r="134">
          <cell r="C134" t="str">
            <v>5.2.533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70000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380000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380000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</row>
        <row r="135">
          <cell r="C135" t="str">
            <v>5.2.541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181000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100000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100000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</row>
        <row r="136">
          <cell r="C136" t="str">
            <v>5.2.542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2383000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3155000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3155000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</row>
        <row r="137">
          <cell r="C137" t="str">
            <v>5.2.55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4053000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4066000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4066000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</row>
        <row r="138">
          <cell r="C138" t="str">
            <v>5.2.56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2397000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1713000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1713000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</row>
        <row r="139">
          <cell r="C139" t="str">
            <v>5.2.57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4618000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4244000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4244000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</row>
        <row r="140">
          <cell r="C140" t="str">
            <v>5.2.5X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</row>
        <row r="141">
          <cell r="C141" t="str">
            <v>5.2.61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18994555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20821399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20821399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</row>
        <row r="142">
          <cell r="C142" t="str">
            <v>5.2.621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64497950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72657882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72657882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</row>
        <row r="143">
          <cell r="C143" t="str">
            <v>5.2.622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2860162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3318061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3318061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</row>
        <row r="144">
          <cell r="C144" t="str">
            <v>5.2.623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2082379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2172790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2172790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</row>
        <row r="145">
          <cell r="C145" t="str">
            <v>5.2.631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2034368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2812265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2812265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</row>
        <row r="146">
          <cell r="C146" t="str">
            <v>5.2.632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8482874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8300000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8300000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</row>
        <row r="147">
          <cell r="C147" t="str">
            <v>5.2.641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13599936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14857583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14857583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</row>
        <row r="148">
          <cell r="C148" t="str">
            <v>5.2.642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6327334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7943569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7943569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</row>
        <row r="149">
          <cell r="C149" t="str">
            <v>5.2.65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2740108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2625600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2625600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</row>
        <row r="150">
          <cell r="C150" t="str">
            <v>5.2.66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2145512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1752918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1752918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</row>
        <row r="151">
          <cell r="C151" t="str">
            <v>5.2.67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4719202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5237326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5237326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</row>
        <row r="152">
          <cell r="C152" t="str">
            <v>5.2.6SPEC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75000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40000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40000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</row>
        <row r="153">
          <cell r="C153" t="str">
            <v>5.2.6X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</row>
        <row r="154">
          <cell r="C154" t="str">
            <v>5.2.71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8413084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9111872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9111872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</row>
        <row r="155">
          <cell r="C155" t="str">
            <v>5.2.721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46509475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55956000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55956000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</row>
        <row r="156">
          <cell r="C156" t="str">
            <v>5.2.722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2550244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4130331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4130331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</row>
        <row r="157">
          <cell r="C157" t="str">
            <v>5.2.723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1544470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1519615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1519615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</row>
        <row r="158">
          <cell r="C158" t="str">
            <v>5.2.731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1658982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2400381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2400381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</row>
        <row r="159">
          <cell r="C159" t="str">
            <v>5.2.732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4837900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4640207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4640207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</row>
        <row r="160">
          <cell r="C160" t="str">
            <v>5.2.733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</row>
        <row r="161">
          <cell r="C161" t="str">
            <v>5.2.741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10378163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10916030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10916030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</row>
        <row r="162">
          <cell r="C162" t="str">
            <v>5.2.742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4678032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5213822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5213822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</row>
        <row r="163">
          <cell r="C163" t="str">
            <v>5.2.75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1569345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1760573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1760573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</row>
        <row r="164">
          <cell r="C164" t="str">
            <v>5.2.76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2804684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2646845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2646845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</row>
        <row r="165">
          <cell r="C165" t="str">
            <v>5.2.77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2681160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3212804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3212804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</row>
        <row r="166">
          <cell r="C166" t="str">
            <v>5.2.7X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</row>
        <row r="167">
          <cell r="C167" t="str">
            <v>5.2.81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724453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484847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484847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</row>
        <row r="168">
          <cell r="C168" t="str">
            <v>5.2.821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6654633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8446784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8446784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</row>
        <row r="169">
          <cell r="C169" t="str">
            <v>5.2.822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452116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718500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718500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</row>
        <row r="170">
          <cell r="C170" t="str">
            <v>5.2.823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146500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190000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190000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</row>
        <row r="171">
          <cell r="C171" t="str">
            <v>5.2.832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389500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315000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315000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</row>
        <row r="172">
          <cell r="C172" t="str">
            <v>5.2.841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715000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1100000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1100000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</row>
        <row r="173">
          <cell r="C173" t="str">
            <v>5.2.85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234500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225500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225500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</row>
        <row r="174">
          <cell r="C174" t="str">
            <v>5.2.86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270500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171000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171000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</row>
        <row r="175">
          <cell r="C175" t="str">
            <v>5.2.87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267300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484200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484200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</row>
        <row r="176">
          <cell r="C176" t="str">
            <v>5.2.8SPEC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2400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2400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</row>
        <row r="177">
          <cell r="C177" t="str">
            <v>5.2.8X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</row>
        <row r="178">
          <cell r="C178" t="str">
            <v>5.2.91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920553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851013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851013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</row>
        <row r="179">
          <cell r="C179" t="str">
            <v>5.2.921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3594562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8501537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8501537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</row>
        <row r="180">
          <cell r="C180" t="str">
            <v>5.2.922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868019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2030154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2030154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</row>
        <row r="181">
          <cell r="C181" t="str">
            <v>5.2.923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196133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356633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356633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</row>
        <row r="182">
          <cell r="C182" t="str">
            <v>5.2.932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680000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2499436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2499436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</row>
        <row r="183">
          <cell r="C183" t="str">
            <v>5.2.941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885000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2192454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2192454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</row>
        <row r="184">
          <cell r="C184" t="str">
            <v>5.2.95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112686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1049200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1049200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</row>
        <row r="185">
          <cell r="C185" t="str">
            <v>5.2.96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127000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428100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428100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</row>
        <row r="186">
          <cell r="C186" t="str">
            <v>5.2.97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629000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1568471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1568471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</row>
        <row r="187">
          <cell r="C187" t="str">
            <v>5.2.9X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</row>
        <row r="188">
          <cell r="C188" t="str">
            <v>5.2.X21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225740376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276361000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276361000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</row>
        <row r="189">
          <cell r="C189" t="str">
            <v>5.2.X22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75370836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107471000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107471000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</row>
        <row r="190">
          <cell r="C190" t="str">
            <v>5.2.X23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26693170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38586699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38586699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</row>
        <row r="191">
          <cell r="C191" t="str">
            <v>5.2.X32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579150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750000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750000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</row>
        <row r="192">
          <cell r="C192" t="str">
            <v>5.2.X41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118165000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183855714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183855714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</row>
        <row r="193">
          <cell r="C193" t="str">
            <v>5.2.X42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11141330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20874500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20874500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</row>
        <row r="199">
          <cell r="C199" t="str">
            <v>6.0.1</v>
          </cell>
          <cell r="D199" t="str">
            <v>Compensations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28600000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28600000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28600000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</row>
        <row r="200">
          <cell r="C200" t="str">
            <v>8.0.1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</row>
        <row r="201">
          <cell r="C201" t="str">
            <v>8.0.2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</row>
        <row r="202">
          <cell r="C202" t="str">
            <v>9.0.1</v>
          </cell>
          <cell r="D202" t="str">
            <v>Emergency Aid Reserve (EAR)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198922866</v>
          </cell>
          <cell r="J202">
            <v>219377866</v>
          </cell>
          <cell r="K202">
            <v>98605366</v>
          </cell>
          <cell r="L202">
            <v>61705366</v>
          </cell>
          <cell r="M202">
            <v>34102116</v>
          </cell>
          <cell r="N202">
            <v>45602116</v>
          </cell>
          <cell r="O202">
            <v>358500000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358500000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</row>
        <row r="203">
          <cell r="C203" t="str">
            <v>9.0.2</v>
          </cell>
          <cell r="D203" t="str">
            <v>European Globalisation Adjustment Fund (EGF)</v>
          </cell>
          <cell r="E203">
            <v>561558</v>
          </cell>
          <cell r="F203">
            <v>561558</v>
          </cell>
          <cell r="G203">
            <v>0</v>
          </cell>
          <cell r="H203">
            <v>0</v>
          </cell>
          <cell r="I203">
            <v>159181000</v>
          </cell>
          <cell r="J203">
            <v>162365000</v>
          </cell>
          <cell r="K203">
            <v>165612000</v>
          </cell>
          <cell r="L203">
            <v>168924000</v>
          </cell>
          <cell r="M203">
            <v>172302000</v>
          </cell>
          <cell r="N203">
            <v>175748000</v>
          </cell>
          <cell r="O203">
            <v>179263000</v>
          </cell>
          <cell r="P203">
            <v>0</v>
          </cell>
          <cell r="Q203">
            <v>80889826.680000007</v>
          </cell>
          <cell r="R203">
            <v>43339291.869999997</v>
          </cell>
          <cell r="S203">
            <v>27910826.989999998</v>
          </cell>
          <cell r="T203">
            <v>18050372</v>
          </cell>
          <cell r="U203">
            <v>27990085</v>
          </cell>
          <cell r="V203">
            <v>571604.44999999995</v>
          </cell>
          <cell r="W203">
            <v>0</v>
          </cell>
          <cell r="X203">
            <v>0</v>
          </cell>
          <cell r="Y203">
            <v>42514891</v>
          </cell>
          <cell r="Z203">
            <v>7814630</v>
          </cell>
          <cell r="AA203">
            <v>232211</v>
          </cell>
          <cell r="AB203">
            <v>199033</v>
          </cell>
          <cell r="AC203">
            <v>5470698</v>
          </cell>
          <cell r="AD203">
            <v>571604</v>
          </cell>
          <cell r="AE203">
            <v>10000000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-27300</v>
          </cell>
          <cell r="AN203">
            <v>-114702</v>
          </cell>
          <cell r="AO203">
            <v>-56280</v>
          </cell>
          <cell r="AP203">
            <v>-40445</v>
          </cell>
          <cell r="AQ203">
            <v>-72564.67</v>
          </cell>
          <cell r="AR203">
            <v>-85856.26</v>
          </cell>
          <cell r="AS203">
            <v>-449476.01</v>
          </cell>
          <cell r="AT203">
            <v>-179263000</v>
          </cell>
          <cell r="AU203">
            <v>-38260234</v>
          </cell>
          <cell r="AV203">
            <v>-35468382</v>
          </cell>
          <cell r="AW203">
            <v>-27638171</v>
          </cell>
          <cell r="AX203">
            <v>-17778774</v>
          </cell>
          <cell r="AY203">
            <v>-22433530</v>
          </cell>
          <cell r="AZ203">
            <v>0</v>
          </cell>
          <cell r="BA203">
            <v>0</v>
          </cell>
          <cell r="BB203">
            <v>0</v>
          </cell>
          <cell r="BC203">
            <v>-534258</v>
          </cell>
          <cell r="BD203">
            <v>-122678</v>
          </cell>
          <cell r="BE203">
            <v>-499527</v>
          </cell>
          <cell r="BF203">
            <v>-137849</v>
          </cell>
          <cell r="BG203">
            <v>0</v>
          </cell>
          <cell r="BH203">
            <v>-170012</v>
          </cell>
          <cell r="BI203">
            <v>-121111.42</v>
          </cell>
          <cell r="BJ203">
            <v>-543205.15</v>
          </cell>
          <cell r="BK203">
            <v>0</v>
          </cell>
        </row>
        <row r="204">
          <cell r="C204" t="str">
            <v>9.0.3</v>
          </cell>
          <cell r="D204" t="str">
            <v>European Union Solidarity Fund (EUSF)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126724968</v>
          </cell>
          <cell r="J204">
            <v>0</v>
          </cell>
          <cell r="K204">
            <v>81475125</v>
          </cell>
          <cell r="L204">
            <v>1241200013</v>
          </cell>
          <cell r="M204">
            <v>181638311</v>
          </cell>
          <cell r="N204">
            <v>343551794</v>
          </cell>
          <cell r="O204">
            <v>322498208</v>
          </cell>
          <cell r="P204">
            <v>0</v>
          </cell>
          <cell r="Q204">
            <v>0</v>
          </cell>
          <cell r="R204">
            <v>0</v>
          </cell>
          <cell r="S204">
            <v>64249335</v>
          </cell>
          <cell r="T204">
            <v>1241200013</v>
          </cell>
          <cell r="U204">
            <v>151889676</v>
          </cell>
          <cell r="V204">
            <v>343551794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64249335</v>
          </cell>
          <cell r="AB204">
            <v>1241200013</v>
          </cell>
          <cell r="AC204">
            <v>151889676</v>
          </cell>
          <cell r="AD204">
            <v>294828316</v>
          </cell>
          <cell r="AE204">
            <v>322498208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48723478</v>
          </cell>
          <cell r="BK204">
            <v>0</v>
          </cell>
        </row>
        <row r="205">
          <cell r="C205" t="str">
            <v>9.0.31</v>
          </cell>
          <cell r="D205">
            <v>0</v>
          </cell>
          <cell r="E205">
            <v>400805676</v>
          </cell>
          <cell r="F205">
            <v>400805676</v>
          </cell>
          <cell r="G205">
            <v>400805676</v>
          </cell>
          <cell r="H205">
            <v>0</v>
          </cell>
          <cell r="I205">
            <v>0</v>
          </cell>
          <cell r="J205">
            <v>82780615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66500363</v>
          </cell>
          <cell r="R205">
            <v>82780615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150000000</v>
          </cell>
          <cell r="Z205">
            <v>149280978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-250805676</v>
          </cell>
          <cell r="BD205">
            <v>66500363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</row>
        <row r="206">
          <cell r="C206" t="str">
            <v>9.0.32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60224605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60224605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60224605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</row>
        <row r="207">
          <cell r="C207" t="str">
            <v>O.0.1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</row>
        <row r="209">
          <cell r="C209">
            <v>0</v>
          </cell>
          <cell r="D209" t="str">
            <v>Sum:</v>
          </cell>
          <cell r="E209">
            <v>4800154792</v>
          </cell>
          <cell r="F209">
            <v>3664077203</v>
          </cell>
          <cell r="G209">
            <v>0</v>
          </cell>
          <cell r="H209">
            <v>0</v>
          </cell>
          <cell r="I209">
            <v>121586928498</v>
          </cell>
          <cell r="J209">
            <v>158607480684</v>
          </cell>
          <cell r="K209">
            <v>151499438425</v>
          </cell>
          <cell r="L209">
            <v>155910000000</v>
          </cell>
          <cell r="M209">
            <v>156676000000</v>
          </cell>
          <cell r="N209">
            <v>162074000000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141224000000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str">
            <v>Sum: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</row>
        <row r="212">
          <cell r="C212">
            <v>0</v>
          </cell>
          <cell r="D212">
            <v>0</v>
          </cell>
          <cell r="E212" t="str">
            <v xml:space="preserve"> RAL at 1/1/2014</v>
          </cell>
          <cell r="F212">
            <v>0</v>
          </cell>
          <cell r="G212">
            <v>0</v>
          </cell>
          <cell r="H212">
            <v>0</v>
          </cell>
          <cell r="I212" t="str">
            <v>(A) COMMITMENTS: Final authorised budget (C1, no EFTA)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str">
            <v>(B) COMMITMENTS: Execution (adjusted for carry-overs)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 t="str">
            <v>(C) PAYMENTS: Execution (adjusted for carry-overs)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 t="str">
            <v>(D) Decommitments (w/o external assigned revenue) &amp; commitments that cannot be carried over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 t="str">
            <v>(E) BALANCING FACTORS: 
net effects of EFTA
Internal Assigned Revenue (C4/|C5) &amp; ESIF (C6/C7)
Calendar year RAL variations (origin under investigation by C6)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 t="str">
            <v>(F) NET carryover execution (used for checking consistency with C6 RAL)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</row>
        <row r="213">
          <cell r="C213">
            <v>0</v>
          </cell>
          <cell r="D213" t="str">
            <v>Subcategory Desc</v>
          </cell>
          <cell r="E213" t="str">
            <v>All fund sources (C6 report)</v>
          </cell>
          <cell r="F213" t="str">
            <v>Only EU + EFTA</v>
          </cell>
          <cell r="G213" t="str">
            <v>Of which NON-admin RAL</v>
          </cell>
          <cell r="H213">
            <v>0</v>
          </cell>
          <cell r="I213" t="str">
            <v>2014 CE Crédits définitifs du budget
incl. MFF Art. 19</v>
          </cell>
          <cell r="J213" t="str">
            <v>2015 CE Crédits définitifs du budget</v>
          </cell>
          <cell r="K213" t="str">
            <v>2016 CE Crédits définitifs du budget</v>
          </cell>
          <cell r="L213" t="str">
            <v>2017 CE Crédits définitifs du budget</v>
          </cell>
          <cell r="M213" t="str">
            <v>2018 CE Crédits définitifs du budget</v>
          </cell>
          <cell r="N213" t="str">
            <v>CE Crédits définitifs du budget</v>
          </cell>
          <cell r="O213" t="str">
            <v>2020 CA (up to DAB6)</v>
          </cell>
          <cell r="P213">
            <v>0</v>
          </cell>
          <cell r="Q213" t="str">
            <v>2014</v>
          </cell>
          <cell r="R213" t="str">
            <v>2015</v>
          </cell>
          <cell r="S213" t="str">
            <v>2016</v>
          </cell>
          <cell r="T213" t="str">
            <v>2017</v>
          </cell>
          <cell r="U213" t="str">
            <v>2018</v>
          </cell>
          <cell r="V213" t="str">
            <v>2019 + authorised carry-overs</v>
          </cell>
          <cell r="W213" t="str">
            <v>2020</v>
          </cell>
          <cell r="X213">
            <v>0</v>
          </cell>
          <cell r="Y213" t="str">
            <v>2014 Execution payments C1 &amp; all carry-overs</v>
          </cell>
          <cell r="Z213" t="str">
            <v>2015 Execution payments C1 &amp; all carry-overs</v>
          </cell>
          <cell r="AA213" t="str">
            <v>2016 Execution payments C1 &amp; all carry-overs</v>
          </cell>
          <cell r="AB213" t="str">
            <v>2017 Execution payments C1 &amp; all carry-overs</v>
          </cell>
          <cell r="AC213" t="str">
            <v>2018 Execution payments C1 &amp; all carry-overs</v>
          </cell>
          <cell r="AD213" t="str">
            <v>2019 Execution C1 &amp; authorized carry-overs</v>
          </cell>
          <cell r="AE213" t="str">
            <v>2020 PA up to DAB4</v>
          </cell>
          <cell r="AF213" t="str">
            <v>2021 forecast</v>
          </cell>
          <cell r="AG213" t="str">
            <v>2022 forecast</v>
          </cell>
          <cell r="AH213" t="str">
            <v>2023 forecast</v>
          </cell>
          <cell r="AI213" t="str">
            <v>2024 forecast</v>
          </cell>
          <cell r="AJ213" t="str">
            <v>2025 forecast</v>
          </cell>
          <cell r="AK213" t="str">
            <v>2026 forecast</v>
          </cell>
          <cell r="AL213">
            <v>0</v>
          </cell>
          <cell r="AM213" t="str">
            <v>2014</v>
          </cell>
          <cell r="AN213" t="str">
            <v>2015</v>
          </cell>
          <cell r="AO213" t="str">
            <v>2016</v>
          </cell>
          <cell r="AP213" t="str">
            <v>2017</v>
          </cell>
          <cell r="AQ213" t="str">
            <v>2018</v>
          </cell>
          <cell r="AR213" t="str">
            <v>2019</v>
          </cell>
          <cell r="AS213" t="str">
            <v>2020 as of 1/9/2020</v>
          </cell>
          <cell r="AT213" t="str">
            <v>2020</v>
          </cell>
          <cell r="AU213" t="str">
            <v>2014</v>
          </cell>
          <cell r="AV213" t="str">
            <v xml:space="preserve">2015
</v>
          </cell>
          <cell r="AW213" t="str">
            <v>2016</v>
          </cell>
          <cell r="AX213" t="str">
            <v>2017</v>
          </cell>
          <cell r="AY213" t="str">
            <v>2018</v>
          </cell>
          <cell r="AZ213" t="str">
            <v>2019</v>
          </cell>
          <cell r="BA213" t="str">
            <v>2020</v>
          </cell>
          <cell r="BB213">
            <v>0</v>
          </cell>
          <cell r="BC213" t="str">
            <v>Exe in 2014</v>
          </cell>
          <cell r="BD213" t="str">
            <v>Exe in 2015</v>
          </cell>
          <cell r="BE213" t="str">
            <v>Exe in 2016</v>
          </cell>
          <cell r="BF213" t="str">
            <v>Exe in 2017</v>
          </cell>
          <cell r="BG213" t="str">
            <v>empty</v>
          </cell>
          <cell r="BH213" t="str">
            <v>Exe 
in 2018</v>
          </cell>
          <cell r="BI213" t="str">
            <v>Exe
 in 2019</v>
          </cell>
          <cell r="BJ213" t="str">
            <v>Authorised in 2020</v>
          </cell>
          <cell r="BK213">
            <v>0</v>
          </cell>
        </row>
        <row r="214">
          <cell r="C214" t="str">
            <v>1.1.11</v>
          </cell>
          <cell r="D214" t="str">
            <v>European satellite navigation systems (EGNOS and Galileo)</v>
          </cell>
          <cell r="E214">
            <v>379622509</v>
          </cell>
          <cell r="F214">
            <v>379622509</v>
          </cell>
          <cell r="G214">
            <v>379622509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152234803</v>
          </cell>
          <cell r="Z214">
            <v>137849098</v>
          </cell>
          <cell r="AA214">
            <v>24164334</v>
          </cell>
          <cell r="AB214">
            <v>46018639</v>
          </cell>
          <cell r="AC214">
            <v>6150339</v>
          </cell>
          <cell r="AD214">
            <v>0</v>
          </cell>
          <cell r="AE214">
            <v>0</v>
          </cell>
          <cell r="AF214">
            <v>135266</v>
          </cell>
          <cell r="AG214">
            <v>122260</v>
          </cell>
          <cell r="AH214">
            <v>51123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-88534</v>
          </cell>
          <cell r="AN214">
            <v>-399739</v>
          </cell>
          <cell r="AO214">
            <v>-73996</v>
          </cell>
          <cell r="AP214">
            <v>-311920</v>
          </cell>
          <cell r="AQ214">
            <v>-94865.15</v>
          </cell>
          <cell r="AR214">
            <v>0</v>
          </cell>
          <cell r="AS214">
            <v>0</v>
          </cell>
          <cell r="AT214">
            <v>0</v>
          </cell>
          <cell r="AU214">
            <v>-8234234</v>
          </cell>
          <cell r="AV214">
            <v>-2218950</v>
          </cell>
          <cell r="AW214">
            <v>-422400</v>
          </cell>
          <cell r="AX214">
            <v>-936000</v>
          </cell>
          <cell r="AY214">
            <v>-110500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</row>
        <row r="215">
          <cell r="C215" t="str">
            <v>1.1.12</v>
          </cell>
          <cell r="D215" t="str">
            <v>International Thermonuclear Experimental Reactor (ITER)</v>
          </cell>
          <cell r="E215">
            <v>2076222176</v>
          </cell>
          <cell r="F215">
            <v>2076222176</v>
          </cell>
          <cell r="G215">
            <v>2076222176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367465952</v>
          </cell>
          <cell r="Z215">
            <v>239688161</v>
          </cell>
          <cell r="AA215">
            <v>338000000</v>
          </cell>
          <cell r="AB215">
            <v>335442800</v>
          </cell>
          <cell r="AC215">
            <v>249800000</v>
          </cell>
          <cell r="AD215">
            <v>197304383</v>
          </cell>
          <cell r="AE215">
            <v>193195500</v>
          </cell>
          <cell r="AF215">
            <v>52667323</v>
          </cell>
          <cell r="AG215">
            <v>52780351</v>
          </cell>
          <cell r="AH215">
            <v>49792705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-85000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</row>
        <row r="216">
          <cell r="C216" t="str">
            <v>1.1.13</v>
          </cell>
          <cell r="D216" t="str">
            <v>European Earth Observation Programme (Copernicus)</v>
          </cell>
          <cell r="E216">
            <v>19894325</v>
          </cell>
          <cell r="F216">
            <v>19894325</v>
          </cell>
          <cell r="G216">
            <v>19894325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16279633</v>
          </cell>
          <cell r="Z216">
            <v>2011847</v>
          </cell>
          <cell r="AA216">
            <v>736647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-376992</v>
          </cell>
          <cell r="AN216">
            <v>-32594</v>
          </cell>
          <cell r="AO216">
            <v>-391050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-65562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</row>
        <row r="217">
          <cell r="C217" t="str">
            <v>1.1.2</v>
          </cell>
          <cell r="D217" t="str">
            <v>Nuclear Safety and Decommissioning</v>
          </cell>
          <cell r="E217">
            <v>932546201</v>
          </cell>
          <cell r="F217">
            <v>932546201</v>
          </cell>
          <cell r="G217">
            <v>932546201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164557884</v>
          </cell>
          <cell r="Z217">
            <v>147499225</v>
          </cell>
          <cell r="AA217">
            <v>150168540</v>
          </cell>
          <cell r="AB217">
            <v>260783568</v>
          </cell>
          <cell r="AC217">
            <v>112777494</v>
          </cell>
          <cell r="AD217">
            <v>62043453</v>
          </cell>
          <cell r="AE217">
            <v>5500000</v>
          </cell>
          <cell r="AF217">
            <v>5929260</v>
          </cell>
          <cell r="AG217">
            <v>5929260</v>
          </cell>
          <cell r="AH217">
            <v>5929260</v>
          </cell>
          <cell r="AI217">
            <v>5929261</v>
          </cell>
          <cell r="AJ217">
            <v>5480223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-18771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</row>
        <row r="218">
          <cell r="C218" t="str">
            <v>1.1.31</v>
          </cell>
          <cell r="D218" t="str">
            <v>Horizon 2020</v>
          </cell>
          <cell r="E218">
            <v>16397672225</v>
          </cell>
          <cell r="F218">
            <v>16378952848</v>
          </cell>
          <cell r="G218">
            <v>16378952848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4869107049</v>
          </cell>
          <cell r="Z218">
            <v>3830010123</v>
          </cell>
          <cell r="AA218">
            <v>2617847128</v>
          </cell>
          <cell r="AB218">
            <v>1520806267</v>
          </cell>
          <cell r="AC218">
            <v>742028822</v>
          </cell>
          <cell r="AD218">
            <v>309134178</v>
          </cell>
          <cell r="AE218">
            <v>151631393</v>
          </cell>
          <cell r="AF218">
            <v>148097058</v>
          </cell>
          <cell r="AG218">
            <v>79105129</v>
          </cell>
          <cell r="AH218">
            <v>56587458</v>
          </cell>
          <cell r="AI218">
            <v>41841235</v>
          </cell>
          <cell r="AJ218">
            <v>19167036</v>
          </cell>
          <cell r="AK218">
            <v>36309585</v>
          </cell>
          <cell r="AL218">
            <v>0</v>
          </cell>
          <cell r="AM218">
            <v>-178540878</v>
          </cell>
          <cell r="AN218">
            <v>-90355894</v>
          </cell>
          <cell r="AO218">
            <v>-145115275</v>
          </cell>
          <cell r="AP218">
            <v>-354313236</v>
          </cell>
          <cell r="AQ218">
            <v>-188443794.09999999</v>
          </cell>
          <cell r="AR218">
            <v>-237741889.5</v>
          </cell>
          <cell r="AS218">
            <v>-117789452.59</v>
          </cell>
          <cell r="AT218">
            <v>-14736403</v>
          </cell>
          <cell r="AU218">
            <v>-191130548</v>
          </cell>
          <cell r="AV218">
            <v>-135816979</v>
          </cell>
          <cell r="AW218">
            <v>-110821954</v>
          </cell>
          <cell r="AX218">
            <v>-140875558</v>
          </cell>
          <cell r="AY218">
            <v>-62498068</v>
          </cell>
          <cell r="AZ218">
            <v>-55768463</v>
          </cell>
          <cell r="BA218">
            <v>-17980447.350000001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</row>
        <row r="219">
          <cell r="C219" t="str">
            <v>1.1.32</v>
          </cell>
          <cell r="D219" t="str">
            <v>Euratom Research and Training Programme</v>
          </cell>
          <cell r="E219">
            <v>145844762</v>
          </cell>
          <cell r="F219">
            <v>145702030</v>
          </cell>
          <cell r="G219">
            <v>145702030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62487307</v>
          </cell>
          <cell r="Z219">
            <v>34894386</v>
          </cell>
          <cell r="AA219">
            <v>11630686</v>
          </cell>
          <cell r="AB219">
            <v>6206998</v>
          </cell>
          <cell r="AC219">
            <v>1470949</v>
          </cell>
          <cell r="AD219">
            <v>1067325</v>
          </cell>
          <cell r="AE219">
            <v>0</v>
          </cell>
          <cell r="AF219">
            <v>1649781</v>
          </cell>
          <cell r="AG219">
            <v>1581842</v>
          </cell>
          <cell r="AH219">
            <v>2260606</v>
          </cell>
          <cell r="AI219">
            <v>1152718</v>
          </cell>
          <cell r="AJ219">
            <v>816629</v>
          </cell>
          <cell r="AK219">
            <v>881149</v>
          </cell>
          <cell r="AL219">
            <v>0</v>
          </cell>
          <cell r="AM219">
            <v>-3803992</v>
          </cell>
          <cell r="AN219">
            <v>-2291022</v>
          </cell>
          <cell r="AO219">
            <v>-3011676</v>
          </cell>
          <cell r="AP219">
            <v>-8388138</v>
          </cell>
          <cell r="AQ219">
            <v>-62529.21</v>
          </cell>
          <cell r="AR219">
            <v>0</v>
          </cell>
          <cell r="AS219">
            <v>0</v>
          </cell>
          <cell r="AT219">
            <v>-19904</v>
          </cell>
          <cell r="AU219">
            <v>-385803</v>
          </cell>
          <cell r="AV219">
            <v>-161058</v>
          </cell>
          <cell r="AW219">
            <v>-188165</v>
          </cell>
          <cell r="AX219">
            <v>-146944</v>
          </cell>
          <cell r="AY219">
            <v>-888829</v>
          </cell>
          <cell r="AZ219">
            <v>-57612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</row>
        <row r="220">
          <cell r="C220" t="str">
            <v>1.1.4</v>
          </cell>
          <cell r="D220" t="str">
            <v>Competitiveness of enterprises and small and medium-sized enterprises (COSME)</v>
          </cell>
          <cell r="E220">
            <v>845297402</v>
          </cell>
          <cell r="F220">
            <v>839731826</v>
          </cell>
          <cell r="G220">
            <v>839731826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138106674</v>
          </cell>
          <cell r="Z220">
            <v>137720899</v>
          </cell>
          <cell r="AA220">
            <v>101349623</v>
          </cell>
          <cell r="AB220">
            <v>24643487</v>
          </cell>
          <cell r="AC220">
            <v>49102637</v>
          </cell>
          <cell r="AD220">
            <v>32300000</v>
          </cell>
          <cell r="AE220">
            <v>13739000</v>
          </cell>
          <cell r="AF220">
            <v>38931178</v>
          </cell>
          <cell r="AG220">
            <v>32911400</v>
          </cell>
          <cell r="AH220">
            <v>9968668</v>
          </cell>
          <cell r="AI220">
            <v>7411892</v>
          </cell>
          <cell r="AJ220">
            <v>5363568</v>
          </cell>
          <cell r="AK220">
            <v>28910531</v>
          </cell>
          <cell r="AL220">
            <v>0</v>
          </cell>
          <cell r="AM220">
            <v>-2653084</v>
          </cell>
          <cell r="AN220">
            <v>-24137392</v>
          </cell>
          <cell r="AO220">
            <v>-34878917</v>
          </cell>
          <cell r="AP220">
            <v>-72208591</v>
          </cell>
          <cell r="AQ220">
            <v>-53153057.189999998</v>
          </cell>
          <cell r="AR220">
            <v>-11364061.619999999</v>
          </cell>
          <cell r="AS220">
            <v>-20821561.059999999</v>
          </cell>
          <cell r="AT220">
            <v>-1287733</v>
          </cell>
          <cell r="AU220">
            <v>-3726387</v>
          </cell>
          <cell r="AV220">
            <v>-4532666</v>
          </cell>
          <cell r="AW220">
            <v>-2871608</v>
          </cell>
          <cell r="AX220">
            <v>-2508903</v>
          </cell>
          <cell r="AY220">
            <v>-1200307</v>
          </cell>
          <cell r="AZ220">
            <v>-793296</v>
          </cell>
          <cell r="BA220">
            <v>-781660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</row>
        <row r="221">
          <cell r="C221" t="str">
            <v>1.1.5</v>
          </cell>
          <cell r="D221" t="str">
            <v>Education, Training and Sport (Erasmus+)</v>
          </cell>
          <cell r="E221">
            <v>459190738</v>
          </cell>
          <cell r="F221">
            <v>422825354</v>
          </cell>
          <cell r="G221">
            <v>422825354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209162260</v>
          </cell>
          <cell r="Z221">
            <v>76155149</v>
          </cell>
          <cell r="AA221">
            <v>20745171</v>
          </cell>
          <cell r="AB221">
            <v>6050944</v>
          </cell>
          <cell r="AC221">
            <v>0</v>
          </cell>
          <cell r="AD221">
            <v>0</v>
          </cell>
          <cell r="AE221">
            <v>0</v>
          </cell>
          <cell r="AF221">
            <v>110158</v>
          </cell>
          <cell r="AG221">
            <v>74595</v>
          </cell>
          <cell r="AH221">
            <v>33512</v>
          </cell>
          <cell r="AI221">
            <v>17134</v>
          </cell>
          <cell r="AJ221">
            <v>2596</v>
          </cell>
          <cell r="AK221">
            <v>0</v>
          </cell>
          <cell r="AL221">
            <v>0</v>
          </cell>
          <cell r="AM221">
            <v>-26418670</v>
          </cell>
          <cell r="AN221">
            <v>-22525448</v>
          </cell>
          <cell r="AO221">
            <v>-15623320</v>
          </cell>
          <cell r="AP221">
            <v>-11572137</v>
          </cell>
          <cell r="AQ221">
            <v>-4044631.61</v>
          </cell>
          <cell r="AR221">
            <v>-367598.4</v>
          </cell>
          <cell r="AS221">
            <v>-167017.5</v>
          </cell>
          <cell r="AT221">
            <v>-36945</v>
          </cell>
          <cell r="AU221">
            <v>-13791214</v>
          </cell>
          <cell r="AV221">
            <v>-8721775</v>
          </cell>
          <cell r="AW221">
            <v>-5563197</v>
          </cell>
          <cell r="AX221">
            <v>-1277542</v>
          </cell>
          <cell r="AY221">
            <v>-457188</v>
          </cell>
          <cell r="AZ221">
            <v>-9000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</row>
        <row r="222">
          <cell r="C222" t="str">
            <v>1.1.6</v>
          </cell>
          <cell r="D222" t="str">
            <v>Employment and Social Innovation (EaSI)</v>
          </cell>
          <cell r="E222">
            <v>163304343</v>
          </cell>
          <cell r="F222">
            <v>163195188</v>
          </cell>
          <cell r="G222">
            <v>163195188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64648196</v>
          </cell>
          <cell r="Z222">
            <v>32198245</v>
          </cell>
          <cell r="AA222">
            <v>13356912</v>
          </cell>
          <cell r="AB222">
            <v>2786752</v>
          </cell>
          <cell r="AC222">
            <v>907755</v>
          </cell>
          <cell r="AD222">
            <v>0</v>
          </cell>
          <cell r="AE222">
            <v>0</v>
          </cell>
          <cell r="AF222">
            <v>95403</v>
          </cell>
          <cell r="AG222">
            <v>87736</v>
          </cell>
          <cell r="AH222">
            <v>77858</v>
          </cell>
          <cell r="AI222">
            <v>42483</v>
          </cell>
          <cell r="AJ222">
            <v>0</v>
          </cell>
          <cell r="AK222">
            <v>0</v>
          </cell>
          <cell r="AL222">
            <v>0</v>
          </cell>
          <cell r="AM222">
            <v>-12901291</v>
          </cell>
          <cell r="AN222">
            <v>-12278024</v>
          </cell>
          <cell r="AO222">
            <v>-4548245</v>
          </cell>
          <cell r="AP222">
            <v>-2146239</v>
          </cell>
          <cell r="AQ222">
            <v>-1002720.41</v>
          </cell>
          <cell r="AR222">
            <v>-11450737.4</v>
          </cell>
          <cell r="AS222">
            <v>0</v>
          </cell>
          <cell r="AT222">
            <v>-24388</v>
          </cell>
          <cell r="AU222">
            <v>-1896406</v>
          </cell>
          <cell r="AV222">
            <v>-1503460</v>
          </cell>
          <cell r="AW222">
            <v>-927149</v>
          </cell>
          <cell r="AX222">
            <v>-215957</v>
          </cell>
          <cell r="AY222">
            <v>-83034</v>
          </cell>
          <cell r="AZ222">
            <v>-5106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</row>
        <row r="223">
          <cell r="C223" t="str">
            <v>1.1.7</v>
          </cell>
          <cell r="D223" t="str">
            <v>Customs, Fiscalis and Anti-Fraud</v>
          </cell>
          <cell r="E223">
            <v>123707325</v>
          </cell>
          <cell r="F223">
            <v>123704987</v>
          </cell>
          <cell r="G223">
            <v>123704987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70541330</v>
          </cell>
          <cell r="Z223">
            <v>21055172</v>
          </cell>
          <cell r="AA223">
            <v>2233926</v>
          </cell>
          <cell r="AB223">
            <v>932274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-11182587</v>
          </cell>
          <cell r="AN223">
            <v>-10532521</v>
          </cell>
          <cell r="AO223">
            <v>-5056542</v>
          </cell>
          <cell r="AP223">
            <v>-1531025</v>
          </cell>
          <cell r="AQ223">
            <v>0</v>
          </cell>
          <cell r="AR223">
            <v>-234.2</v>
          </cell>
          <cell r="AS223">
            <v>0</v>
          </cell>
          <cell r="AT223">
            <v>0</v>
          </cell>
          <cell r="AU223">
            <v>190949</v>
          </cell>
          <cell r="AV223">
            <v>-788812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-41514</v>
          </cell>
          <cell r="BD223">
            <v>-53747</v>
          </cell>
          <cell r="BE223">
            <v>-120221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</row>
        <row r="224">
          <cell r="C224" t="str">
            <v>1.1.81</v>
          </cell>
          <cell r="D224" t="str">
            <v>Energy</v>
          </cell>
          <cell r="E224">
            <v>107800585</v>
          </cell>
          <cell r="F224">
            <v>107800585</v>
          </cell>
          <cell r="G224">
            <v>107800585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9753197</v>
          </cell>
          <cell r="Z224">
            <v>21765982</v>
          </cell>
          <cell r="AA224">
            <v>11387073</v>
          </cell>
          <cell r="AB224">
            <v>7064307</v>
          </cell>
          <cell r="AC224">
            <v>1816778</v>
          </cell>
          <cell r="AD224">
            <v>0</v>
          </cell>
          <cell r="AE224">
            <v>1443196</v>
          </cell>
          <cell r="AF224">
            <v>18454</v>
          </cell>
          <cell r="AG224">
            <v>22699</v>
          </cell>
          <cell r="AH224">
            <v>27471</v>
          </cell>
          <cell r="AI224">
            <v>32238</v>
          </cell>
          <cell r="AJ224">
            <v>35820</v>
          </cell>
          <cell r="AK224">
            <v>24825</v>
          </cell>
          <cell r="AL224">
            <v>0</v>
          </cell>
          <cell r="AM224">
            <v>-23313775</v>
          </cell>
          <cell r="AN224">
            <v>-1537144</v>
          </cell>
          <cell r="AO224">
            <v>-14218025</v>
          </cell>
          <cell r="AP224">
            <v>0</v>
          </cell>
          <cell r="AQ224">
            <v>-6373989.8200000003</v>
          </cell>
          <cell r="AR224">
            <v>-4600787.13</v>
          </cell>
          <cell r="AS224">
            <v>0</v>
          </cell>
          <cell r="AT224">
            <v>-9542</v>
          </cell>
          <cell r="AU224">
            <v>-1094530</v>
          </cell>
          <cell r="AV224">
            <v>0</v>
          </cell>
          <cell r="AW224">
            <v>-539361</v>
          </cell>
          <cell r="AX224">
            <v>-164063</v>
          </cell>
          <cell r="AY224">
            <v>0</v>
          </cell>
          <cell r="AZ224">
            <v>-2557327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</row>
        <row r="225">
          <cell r="C225" t="str">
            <v>1.1.82</v>
          </cell>
          <cell r="D225" t="str">
            <v>Transport</v>
          </cell>
          <cell r="E225">
            <v>3653893613</v>
          </cell>
          <cell r="F225">
            <v>3653785435</v>
          </cell>
          <cell r="G225">
            <v>3653785435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778149012</v>
          </cell>
          <cell r="Z225">
            <v>423409133</v>
          </cell>
          <cell r="AA225">
            <v>299994238</v>
          </cell>
          <cell r="AB225">
            <v>463383066</v>
          </cell>
          <cell r="AC225">
            <v>1111745</v>
          </cell>
          <cell r="AD225">
            <v>2253777</v>
          </cell>
          <cell r="AE225">
            <v>0</v>
          </cell>
          <cell r="AF225">
            <v>2135861</v>
          </cell>
          <cell r="AG225">
            <v>570854</v>
          </cell>
          <cell r="AH225">
            <v>545808</v>
          </cell>
          <cell r="AI225">
            <v>431785</v>
          </cell>
          <cell r="AJ225">
            <v>649097</v>
          </cell>
          <cell r="AK225">
            <v>0</v>
          </cell>
          <cell r="AL225">
            <v>0</v>
          </cell>
          <cell r="AM225">
            <v>-152607934</v>
          </cell>
          <cell r="AN225">
            <v>-378444939</v>
          </cell>
          <cell r="AO225">
            <v>-97666504</v>
          </cell>
          <cell r="AP225">
            <v>-636805326</v>
          </cell>
          <cell r="AQ225">
            <v>-261983465.30000001</v>
          </cell>
          <cell r="AR225">
            <v>-9704411.3900000006</v>
          </cell>
          <cell r="AS225">
            <v>0</v>
          </cell>
          <cell r="AT225">
            <v>-259216</v>
          </cell>
          <cell r="AU225">
            <v>-21211404</v>
          </cell>
          <cell r="AV225">
            <v>-63166579</v>
          </cell>
          <cell r="AW225">
            <v>-29750867</v>
          </cell>
          <cell r="AX225">
            <v>-23219396</v>
          </cell>
          <cell r="AY225">
            <v>-4799371</v>
          </cell>
          <cell r="AZ225">
            <v>-1308279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</row>
        <row r="226">
          <cell r="C226" t="str">
            <v>1.1.83</v>
          </cell>
          <cell r="D226" t="str">
            <v>Information and Communications Technology (ICT)</v>
          </cell>
          <cell r="E226">
            <v>11750310</v>
          </cell>
          <cell r="F226">
            <v>11615564</v>
          </cell>
          <cell r="G226">
            <v>11615564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5130431</v>
          </cell>
          <cell r="Z226">
            <v>4608486</v>
          </cell>
          <cell r="AA226">
            <v>305501</v>
          </cell>
          <cell r="AB226">
            <v>94000</v>
          </cell>
          <cell r="AC226">
            <v>29661</v>
          </cell>
          <cell r="AD226">
            <v>0</v>
          </cell>
          <cell r="AE226">
            <v>0</v>
          </cell>
          <cell r="AF226">
            <v>48493</v>
          </cell>
          <cell r="AG226">
            <v>15387</v>
          </cell>
          <cell r="AH226">
            <v>14690</v>
          </cell>
          <cell r="AI226">
            <v>4476</v>
          </cell>
          <cell r="AJ226">
            <v>1578</v>
          </cell>
          <cell r="AK226">
            <v>498</v>
          </cell>
          <cell r="AL226">
            <v>0</v>
          </cell>
          <cell r="AM226">
            <v>-70462</v>
          </cell>
          <cell r="AN226">
            <v>-758800</v>
          </cell>
          <cell r="AO226">
            <v>-11770</v>
          </cell>
          <cell r="AP226">
            <v>0</v>
          </cell>
          <cell r="AQ226">
            <v>-304.77999999999997</v>
          </cell>
          <cell r="AR226">
            <v>0</v>
          </cell>
          <cell r="AS226">
            <v>0</v>
          </cell>
          <cell r="AT226">
            <v>-4303</v>
          </cell>
          <cell r="AU226">
            <v>-226724</v>
          </cell>
          <cell r="AV226">
            <v>-173578</v>
          </cell>
          <cell r="AW226">
            <v>-7866</v>
          </cell>
          <cell r="AX226">
            <v>-106511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</row>
        <row r="227">
          <cell r="C227" t="str">
            <v>1.1.9</v>
          </cell>
          <cell r="D227" t="str">
            <v>Energy projects to aid economic recovery (EERP)</v>
          </cell>
          <cell r="E227">
            <v>2401934905</v>
          </cell>
          <cell r="F227">
            <v>2401934905</v>
          </cell>
          <cell r="G227">
            <v>2401934905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176759157</v>
          </cell>
          <cell r="Z227">
            <v>384645103</v>
          </cell>
          <cell r="AA227">
            <v>170797824</v>
          </cell>
          <cell r="AB227">
            <v>141660901</v>
          </cell>
          <cell r="AC227">
            <v>150270349</v>
          </cell>
          <cell r="AD227">
            <v>0</v>
          </cell>
          <cell r="AE227">
            <v>60000000</v>
          </cell>
          <cell r="AF227">
            <v>30000000</v>
          </cell>
          <cell r="AG227">
            <v>37000000</v>
          </cell>
          <cell r="AH227">
            <v>7000000</v>
          </cell>
          <cell r="AI227">
            <v>12740148</v>
          </cell>
          <cell r="AJ227">
            <v>0</v>
          </cell>
          <cell r="AK227">
            <v>0</v>
          </cell>
          <cell r="AL227">
            <v>0</v>
          </cell>
          <cell r="AM227">
            <v>-155673838</v>
          </cell>
          <cell r="AN227">
            <v>-494794356</v>
          </cell>
          <cell r="AO227">
            <v>-227428697</v>
          </cell>
          <cell r="AP227">
            <v>-123596</v>
          </cell>
          <cell r="AQ227">
            <v>-132000557.09999999</v>
          </cell>
          <cell r="AR227">
            <v>-47839388.979999997</v>
          </cell>
          <cell r="AS227">
            <v>-46939649.32</v>
          </cell>
          <cell r="AT227">
            <v>-25200000</v>
          </cell>
          <cell r="AU227">
            <v>-62351647</v>
          </cell>
          <cell r="AV227">
            <v>-16991785</v>
          </cell>
          <cell r="AW227">
            <v>-18280674</v>
          </cell>
          <cell r="AX227">
            <v>-6997855</v>
          </cell>
          <cell r="AY227">
            <v>-8829898</v>
          </cell>
          <cell r="AZ227">
            <v>-34549131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</row>
        <row r="228">
          <cell r="C228" t="str">
            <v>1.2.11</v>
          </cell>
          <cell r="D228" t="str">
            <v>Regional convergence (Less developed regions)</v>
          </cell>
          <cell r="E228">
            <v>81947949669</v>
          </cell>
          <cell r="F228">
            <v>81947949669</v>
          </cell>
          <cell r="G228">
            <v>81947949669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145320331</v>
          </cell>
          <cell r="S228">
            <v>0</v>
          </cell>
          <cell r="T228">
            <v>87262816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29825122577</v>
          </cell>
          <cell r="Z228">
            <v>24188051265</v>
          </cell>
          <cell r="AA228">
            <v>12349803373</v>
          </cell>
          <cell r="AB228">
            <v>3298597472</v>
          </cell>
          <cell r="AC228">
            <v>4818012849</v>
          </cell>
          <cell r="AD228">
            <v>823143745</v>
          </cell>
          <cell r="AE228">
            <v>0</v>
          </cell>
          <cell r="AF228">
            <v>843260469</v>
          </cell>
          <cell r="AG228">
            <v>734425392</v>
          </cell>
          <cell r="AH228">
            <v>420875921</v>
          </cell>
          <cell r="AI228">
            <v>331048980</v>
          </cell>
          <cell r="AJ228">
            <v>139655743</v>
          </cell>
          <cell r="AK228">
            <v>322111072</v>
          </cell>
          <cell r="AL228">
            <v>0</v>
          </cell>
          <cell r="AM228">
            <v>-636320134</v>
          </cell>
          <cell r="AN228">
            <v>-636112845</v>
          </cell>
          <cell r="AO228">
            <v>-544916048</v>
          </cell>
          <cell r="AP228">
            <v>-1537089229</v>
          </cell>
          <cell r="AQ228">
            <v>-253082310.80000001</v>
          </cell>
          <cell r="AR228">
            <v>-315282227.80000001</v>
          </cell>
          <cell r="AS228">
            <v>-318250263.13999999</v>
          </cell>
          <cell r="AT228">
            <v>-48229697</v>
          </cell>
          <cell r="AU228">
            <v>-147572775</v>
          </cell>
          <cell r="AV228">
            <v>132003406</v>
          </cell>
          <cell r="AW228">
            <v>137266563</v>
          </cell>
          <cell r="AX228">
            <v>21747402</v>
          </cell>
          <cell r="AY228">
            <v>90978537</v>
          </cell>
          <cell r="AZ228">
            <v>-38256380</v>
          </cell>
          <cell r="BA228">
            <v>-55653675.590000004</v>
          </cell>
          <cell r="BB228">
            <v>0</v>
          </cell>
          <cell r="BC228">
            <v>-69836785</v>
          </cell>
          <cell r="BD228">
            <v>0</v>
          </cell>
          <cell r="BE228">
            <v>145320331</v>
          </cell>
          <cell r="BF228">
            <v>0</v>
          </cell>
          <cell r="BG228">
            <v>0</v>
          </cell>
          <cell r="BH228">
            <v>87262816</v>
          </cell>
          <cell r="BI228">
            <v>0</v>
          </cell>
          <cell r="BJ228">
            <v>0</v>
          </cell>
          <cell r="BK228">
            <v>0</v>
          </cell>
        </row>
        <row r="229">
          <cell r="C229" t="str">
            <v>1.2.12</v>
          </cell>
          <cell r="D229" t="str">
            <v>Transition regions</v>
          </cell>
          <cell r="E229">
            <v>71079919</v>
          </cell>
          <cell r="F229">
            <v>71079919</v>
          </cell>
          <cell r="G229">
            <v>71079919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451980</v>
          </cell>
          <cell r="AE229">
            <v>0</v>
          </cell>
          <cell r="AF229">
            <v>11363225</v>
          </cell>
          <cell r="AG229">
            <v>9989865</v>
          </cell>
          <cell r="AH229">
            <v>5724055</v>
          </cell>
          <cell r="AI229">
            <v>4428408</v>
          </cell>
          <cell r="AJ229">
            <v>1803824</v>
          </cell>
          <cell r="AK229">
            <v>2368984</v>
          </cell>
          <cell r="AL229">
            <v>0</v>
          </cell>
          <cell r="AM229">
            <v>-6439542</v>
          </cell>
          <cell r="AN229">
            <v>-7617512</v>
          </cell>
          <cell r="AO229">
            <v>-13622426</v>
          </cell>
          <cell r="AP229">
            <v>0</v>
          </cell>
          <cell r="AQ229">
            <v>0</v>
          </cell>
          <cell r="AR229">
            <v>-486312</v>
          </cell>
          <cell r="AS229">
            <v>-1680726.92</v>
          </cell>
          <cell r="AT229">
            <v>-962245</v>
          </cell>
          <cell r="AU229">
            <v>-3524357</v>
          </cell>
          <cell r="AV229">
            <v>-390274</v>
          </cell>
          <cell r="AW229">
            <v>-1485493</v>
          </cell>
          <cell r="AX229">
            <v>0</v>
          </cell>
          <cell r="AY229">
            <v>0</v>
          </cell>
          <cell r="AZ229">
            <v>0</v>
          </cell>
          <cell r="BA229">
            <v>-45024.07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</row>
        <row r="230">
          <cell r="C230" t="str">
            <v>1.2.13</v>
          </cell>
          <cell r="D230" t="str">
            <v>Competitiveness (More developed regions)</v>
          </cell>
          <cell r="E230">
            <v>19264937887</v>
          </cell>
          <cell r="F230">
            <v>19264937887</v>
          </cell>
          <cell r="G230">
            <v>19264937887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7459223707</v>
          </cell>
          <cell r="Z230">
            <v>6213305587</v>
          </cell>
          <cell r="AA230">
            <v>2315137585</v>
          </cell>
          <cell r="AB230">
            <v>719345955</v>
          </cell>
          <cell r="AC230">
            <v>1079030967</v>
          </cell>
          <cell r="AD230">
            <v>334845041</v>
          </cell>
          <cell r="AE230">
            <v>0</v>
          </cell>
          <cell r="AF230">
            <v>124997523</v>
          </cell>
          <cell r="AG230">
            <v>109296291</v>
          </cell>
          <cell r="AH230">
            <v>62630446</v>
          </cell>
          <cell r="AI230">
            <v>48920943</v>
          </cell>
          <cell r="AJ230">
            <v>20339915</v>
          </cell>
          <cell r="AK230">
            <v>38621325</v>
          </cell>
          <cell r="AL230">
            <v>0</v>
          </cell>
          <cell r="AM230">
            <v>-147654215</v>
          </cell>
          <cell r="AN230">
            <v>-283638458</v>
          </cell>
          <cell r="AO230">
            <v>-6806444</v>
          </cell>
          <cell r="AP230">
            <v>-352334122</v>
          </cell>
          <cell r="AQ230">
            <v>-31224626.989999998</v>
          </cell>
          <cell r="AR230">
            <v>-2801528.24</v>
          </cell>
          <cell r="AS230">
            <v>-837502.17</v>
          </cell>
          <cell r="AT230">
            <v>-8594807</v>
          </cell>
          <cell r="AU230">
            <v>-10578149</v>
          </cell>
          <cell r="AV230">
            <v>-2986950</v>
          </cell>
          <cell r="AW230">
            <v>1867949</v>
          </cell>
          <cell r="AX230">
            <v>21225340</v>
          </cell>
          <cell r="AY230">
            <v>-34549290</v>
          </cell>
          <cell r="AZ230">
            <v>-11748917</v>
          </cell>
          <cell r="BA230">
            <v>-6098113.8799999999</v>
          </cell>
          <cell r="BB230">
            <v>0</v>
          </cell>
          <cell r="BC230">
            <v>133316785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</row>
        <row r="231">
          <cell r="C231" t="str">
            <v>1.2.15</v>
          </cell>
          <cell r="D231" t="str">
            <v>Cohesion fund</v>
          </cell>
          <cell r="E231">
            <v>31993555129</v>
          </cell>
          <cell r="F231">
            <v>31993555129</v>
          </cell>
          <cell r="G231">
            <v>31993555129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13166752896</v>
          </cell>
          <cell r="Z231">
            <v>10854285786</v>
          </cell>
          <cell r="AA231">
            <v>3203157549</v>
          </cell>
          <cell r="AB231">
            <v>1643636916</v>
          </cell>
          <cell r="AC231">
            <v>827461402</v>
          </cell>
          <cell r="AD231">
            <v>352036978</v>
          </cell>
          <cell r="AE231">
            <v>0</v>
          </cell>
          <cell r="AF231">
            <v>88855435</v>
          </cell>
          <cell r="AG231">
            <v>75524835</v>
          </cell>
          <cell r="AH231">
            <v>25629857</v>
          </cell>
          <cell r="AI231">
            <v>34717009</v>
          </cell>
          <cell r="AJ231">
            <v>15538590</v>
          </cell>
          <cell r="AK231">
            <v>35807237</v>
          </cell>
          <cell r="AL231">
            <v>0</v>
          </cell>
          <cell r="AM231">
            <v>-369414115</v>
          </cell>
          <cell r="AN231">
            <v>-185058058</v>
          </cell>
          <cell r="AO231">
            <v>-55150002</v>
          </cell>
          <cell r="AP231">
            <v>-940301715</v>
          </cell>
          <cell r="AQ231">
            <v>-10878543.289999999</v>
          </cell>
          <cell r="AR231">
            <v>-2950292.67</v>
          </cell>
          <cell r="AS231">
            <v>-10025113.98</v>
          </cell>
          <cell r="AT231">
            <v>0</v>
          </cell>
          <cell r="AU231">
            <v>-25508861</v>
          </cell>
          <cell r="AV231">
            <v>27848763</v>
          </cell>
          <cell r="AW231">
            <v>-8092078</v>
          </cell>
          <cell r="AX231">
            <v>-17214941</v>
          </cell>
          <cell r="AY231">
            <v>-8301897</v>
          </cell>
          <cell r="AZ231">
            <v>-15222543</v>
          </cell>
          <cell r="BA231">
            <v>0</v>
          </cell>
          <cell r="BB231">
            <v>0</v>
          </cell>
          <cell r="BC231">
            <v>-59920000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</row>
        <row r="232">
          <cell r="C232" t="str">
            <v>1.2.2</v>
          </cell>
          <cell r="D232" t="str">
            <v>European territorial cooperation</v>
          </cell>
          <cell r="E232">
            <v>3742164472</v>
          </cell>
          <cell r="F232">
            <v>3742164472</v>
          </cell>
          <cell r="G232">
            <v>3742164472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1663097550</v>
          </cell>
          <cell r="Z232">
            <v>1096960575</v>
          </cell>
          <cell r="AA232">
            <v>366601142</v>
          </cell>
          <cell r="AB232">
            <v>122244783</v>
          </cell>
          <cell r="AC232">
            <v>103388996</v>
          </cell>
          <cell r="AD232">
            <v>849143</v>
          </cell>
          <cell r="AE232">
            <v>0</v>
          </cell>
          <cell r="AF232">
            <v>28380111</v>
          </cell>
          <cell r="AG232">
            <v>24621113</v>
          </cell>
          <cell r="AH232">
            <v>14110425</v>
          </cell>
          <cell r="AI232">
            <v>11175128</v>
          </cell>
          <cell r="AJ232">
            <v>4780658</v>
          </cell>
          <cell r="AK232">
            <v>12873606</v>
          </cell>
          <cell r="AL232">
            <v>0</v>
          </cell>
          <cell r="AM232">
            <v>-53186582</v>
          </cell>
          <cell r="AN232">
            <v>-24962878</v>
          </cell>
          <cell r="AO232">
            <v>-29667</v>
          </cell>
          <cell r="AP232">
            <v>-176339340</v>
          </cell>
          <cell r="AQ232">
            <v>-14982179.49</v>
          </cell>
          <cell r="AR232">
            <v>-1954527.51</v>
          </cell>
          <cell r="AS232">
            <v>0</v>
          </cell>
          <cell r="AT232">
            <v>-1301134</v>
          </cell>
          <cell r="AU232">
            <v>-5793623</v>
          </cell>
          <cell r="AV232">
            <v>-9642963</v>
          </cell>
          <cell r="AW232">
            <v>-3948668</v>
          </cell>
          <cell r="AX232">
            <v>0</v>
          </cell>
          <cell r="AY232">
            <v>0</v>
          </cell>
          <cell r="AZ232">
            <v>-939679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</row>
        <row r="233">
          <cell r="C233" t="str">
            <v>1.2.31</v>
          </cell>
          <cell r="D233" t="str">
            <v>Technical assistance</v>
          </cell>
          <cell r="E233">
            <v>58348374</v>
          </cell>
          <cell r="F233">
            <v>58348374</v>
          </cell>
          <cell r="G233">
            <v>58348374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22327832</v>
          </cell>
          <cell r="Z233">
            <v>4567942</v>
          </cell>
          <cell r="AA233">
            <v>1841118</v>
          </cell>
          <cell r="AB233">
            <v>925493</v>
          </cell>
          <cell r="AC233">
            <v>630000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-13551887</v>
          </cell>
          <cell r="AN233">
            <v>-2697972</v>
          </cell>
          <cell r="AO233">
            <v>-7122990</v>
          </cell>
          <cell r="AP233">
            <v>-139276</v>
          </cell>
          <cell r="AQ233">
            <v>-198203.38</v>
          </cell>
          <cell r="AR233">
            <v>-1496166.73</v>
          </cell>
          <cell r="AS233">
            <v>0</v>
          </cell>
          <cell r="AT233">
            <v>0</v>
          </cell>
          <cell r="AU233">
            <v>-582868</v>
          </cell>
          <cell r="AV233">
            <v>-2080688</v>
          </cell>
          <cell r="AW233">
            <v>-164173</v>
          </cell>
          <cell r="AX233">
            <v>-21766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</row>
        <row r="234">
          <cell r="C234" t="str">
            <v>2.0.10</v>
          </cell>
          <cell r="D234" t="str">
            <v>European Agricultural Guarantee Fund (EAGF) -  Market related expenditure and direct payments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-1254728</v>
          </cell>
          <cell r="J234">
            <v>-1196000</v>
          </cell>
          <cell r="K234">
            <v>-1006524</v>
          </cell>
          <cell r="L234">
            <v>0</v>
          </cell>
          <cell r="M234">
            <v>-479631</v>
          </cell>
          <cell r="N234">
            <v>-451200</v>
          </cell>
          <cell r="O234">
            <v>0</v>
          </cell>
          <cell r="P234">
            <v>0</v>
          </cell>
          <cell r="Q234">
            <v>-1397376.72</v>
          </cell>
          <cell r="R234">
            <v>-1289466.1000000001</v>
          </cell>
          <cell r="S234">
            <v>-1048601.05</v>
          </cell>
          <cell r="T234">
            <v>-519525</v>
          </cell>
          <cell r="U234">
            <v>-488523</v>
          </cell>
          <cell r="V234">
            <v>-452428.07</v>
          </cell>
          <cell r="W234">
            <v>0</v>
          </cell>
          <cell r="X234">
            <v>0</v>
          </cell>
          <cell r="Y234">
            <v>-1397377</v>
          </cell>
          <cell r="Z234">
            <v>-1289466</v>
          </cell>
          <cell r="AA234">
            <v>-1048601</v>
          </cell>
          <cell r="AB234">
            <v>-519525</v>
          </cell>
          <cell r="AC234">
            <v>-488523</v>
          </cell>
          <cell r="AD234">
            <v>-452428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</row>
        <row r="235">
          <cell r="C235" t="str">
            <v>2.0.2</v>
          </cell>
          <cell r="D235">
            <v>0</v>
          </cell>
          <cell r="E235">
            <v>24476440795</v>
          </cell>
          <cell r="F235">
            <v>24476440795</v>
          </cell>
          <cell r="G235">
            <v>24476440795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10871362159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-47391827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-13557686809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</row>
        <row r="236">
          <cell r="C236" t="str">
            <v>2.0.20</v>
          </cell>
          <cell r="D236" t="str">
            <v>European Agricultural Fund for Rural Development (EAFRD)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154655</v>
          </cell>
          <cell r="Z236">
            <v>6183658744</v>
          </cell>
          <cell r="AA236">
            <v>4180871343</v>
          </cell>
          <cell r="AB236">
            <v>26626151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-249473680</v>
          </cell>
          <cell r="AO236">
            <v>-1313215016</v>
          </cell>
          <cell r="AP236">
            <v>-143889012</v>
          </cell>
          <cell r="AQ236">
            <v>-106923698.90000001</v>
          </cell>
          <cell r="AR236">
            <v>-36417496.060000002</v>
          </cell>
          <cell r="AS236">
            <v>0</v>
          </cell>
          <cell r="AT236">
            <v>0</v>
          </cell>
          <cell r="AU236">
            <v>13470066150</v>
          </cell>
          <cell r="AV236">
            <v>-342928599</v>
          </cell>
          <cell r="AW236">
            <v>-354090763</v>
          </cell>
          <cell r="AX236">
            <v>-16466983</v>
          </cell>
          <cell r="AY236">
            <v>-224768001</v>
          </cell>
          <cell r="AZ236">
            <v>-290196449</v>
          </cell>
          <cell r="BA236">
            <v>0</v>
          </cell>
          <cell r="BB236">
            <v>0</v>
          </cell>
          <cell r="BC236">
            <v>0</v>
          </cell>
          <cell r="BD236">
            <v>-154655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</row>
        <row r="237">
          <cell r="C237" t="str">
            <v>2.0.31</v>
          </cell>
          <cell r="D237" t="str">
            <v>European Maritime and Fisheries Fund (EMFF)</v>
          </cell>
          <cell r="E237">
            <v>2093136967</v>
          </cell>
          <cell r="F237">
            <v>2093136967</v>
          </cell>
          <cell r="G237">
            <v>2093136967</v>
          </cell>
          <cell r="H237">
            <v>0</v>
          </cell>
          <cell r="I237">
            <v>0</v>
          </cell>
          <cell r="J237">
            <v>497311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565576</v>
          </cell>
          <cell r="R237">
            <v>497310.51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599252491</v>
          </cell>
          <cell r="Z237">
            <v>572223843</v>
          </cell>
          <cell r="AA237">
            <v>160826529</v>
          </cell>
          <cell r="AB237">
            <v>7256453</v>
          </cell>
          <cell r="AC237">
            <v>23605780</v>
          </cell>
          <cell r="AD237">
            <v>0</v>
          </cell>
          <cell r="AE237">
            <v>0</v>
          </cell>
          <cell r="AF237">
            <v>18826537</v>
          </cell>
          <cell r="AG237">
            <v>18826537</v>
          </cell>
          <cell r="AH237">
            <v>18826537</v>
          </cell>
          <cell r="AI237">
            <v>18826537</v>
          </cell>
          <cell r="AJ237">
            <v>21248054</v>
          </cell>
          <cell r="AK237">
            <v>1882654</v>
          </cell>
          <cell r="AL237">
            <v>0</v>
          </cell>
          <cell r="AM237">
            <v>-174956731</v>
          </cell>
          <cell r="AN237">
            <v>-144078177</v>
          </cell>
          <cell r="AO237">
            <v>-12500657</v>
          </cell>
          <cell r="AP237">
            <v>-18608</v>
          </cell>
          <cell r="AQ237">
            <v>-209189556.5</v>
          </cell>
          <cell r="AR237">
            <v>-1301925.49</v>
          </cell>
          <cell r="AS237">
            <v>-34947345.310000002</v>
          </cell>
          <cell r="AT237">
            <v>-898196</v>
          </cell>
          <cell r="AU237">
            <v>-16772931</v>
          </cell>
          <cell r="AV237">
            <v>565576</v>
          </cell>
          <cell r="AW237">
            <v>0</v>
          </cell>
          <cell r="AX237">
            <v>0</v>
          </cell>
          <cell r="AY237">
            <v>0</v>
          </cell>
          <cell r="AZ237">
            <v>-5059476</v>
          </cell>
          <cell r="BA237">
            <v>0</v>
          </cell>
          <cell r="BB237">
            <v>0</v>
          </cell>
          <cell r="BC237">
            <v>-1485768</v>
          </cell>
          <cell r="BD237">
            <v>565576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</row>
        <row r="238">
          <cell r="C238" t="str">
            <v>2.0.4</v>
          </cell>
          <cell r="D238" t="str">
            <v>Environment and climate action (LIFE)</v>
          </cell>
          <cell r="E238">
            <v>1041106249</v>
          </cell>
          <cell r="F238">
            <v>1040784233</v>
          </cell>
          <cell r="G238">
            <v>1040784233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228368299</v>
          </cell>
          <cell r="Z238">
            <v>189065515</v>
          </cell>
          <cell r="AA238">
            <v>152978836</v>
          </cell>
          <cell r="AB238">
            <v>104644076</v>
          </cell>
          <cell r="AC238">
            <v>59303268</v>
          </cell>
          <cell r="AD238">
            <v>35370247</v>
          </cell>
          <cell r="AE238">
            <v>35000000</v>
          </cell>
          <cell r="AF238">
            <v>10672516</v>
          </cell>
          <cell r="AG238">
            <v>9273375</v>
          </cell>
          <cell r="AH238">
            <v>8947993</v>
          </cell>
          <cell r="AI238">
            <v>9566218</v>
          </cell>
          <cell r="AJ238">
            <v>9159491</v>
          </cell>
          <cell r="AK238">
            <v>14760340</v>
          </cell>
          <cell r="AL238">
            <v>0</v>
          </cell>
          <cell r="AM238">
            <v>-20344690</v>
          </cell>
          <cell r="AN238">
            <v>-443107</v>
          </cell>
          <cell r="AO238">
            <v>-451496</v>
          </cell>
          <cell r="AP238">
            <v>-1234781</v>
          </cell>
          <cell r="AQ238">
            <v>-45095.73</v>
          </cell>
          <cell r="AR238">
            <v>-128576903.5</v>
          </cell>
          <cell r="AS238">
            <v>-8579527.5899999999</v>
          </cell>
          <cell r="AT238">
            <v>-988347</v>
          </cell>
          <cell r="AU238">
            <v>-3539441</v>
          </cell>
          <cell r="AV238">
            <v>-2037540</v>
          </cell>
          <cell r="AW238">
            <v>-1765735</v>
          </cell>
          <cell r="AX238">
            <v>-7651937</v>
          </cell>
          <cell r="AY238">
            <v>-1323207</v>
          </cell>
          <cell r="AZ238">
            <v>-5174166</v>
          </cell>
          <cell r="BA238">
            <v>-727332.18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</row>
        <row r="239">
          <cell r="C239" t="str">
            <v>3.0.1</v>
          </cell>
          <cell r="D239" t="str">
            <v>Asylum, Migration and Integration Fund (AMF)</v>
          </cell>
          <cell r="E239">
            <v>891599081</v>
          </cell>
          <cell r="F239">
            <v>891599081</v>
          </cell>
          <cell r="G239">
            <v>891599081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9464.94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9465</v>
          </cell>
          <cell r="V239">
            <v>0</v>
          </cell>
          <cell r="W239">
            <v>0</v>
          </cell>
          <cell r="X239">
            <v>0</v>
          </cell>
          <cell r="Y239">
            <v>173770359</v>
          </cell>
          <cell r="Z239">
            <v>134896687</v>
          </cell>
          <cell r="AA239">
            <v>115216264</v>
          </cell>
          <cell r="AB239">
            <v>47657944</v>
          </cell>
          <cell r="AC239">
            <v>7399705</v>
          </cell>
          <cell r="AD239">
            <v>3810495</v>
          </cell>
          <cell r="AE239">
            <v>0</v>
          </cell>
          <cell r="AF239">
            <v>1049527</v>
          </cell>
          <cell r="AG239">
            <v>545951</v>
          </cell>
          <cell r="AH239">
            <v>379040</v>
          </cell>
          <cell r="AI239">
            <v>277475</v>
          </cell>
          <cell r="AJ239">
            <v>116150</v>
          </cell>
          <cell r="AK239">
            <v>110565</v>
          </cell>
          <cell r="AL239">
            <v>0</v>
          </cell>
          <cell r="AM239">
            <v>-64815116</v>
          </cell>
          <cell r="AN239">
            <v>-108166409</v>
          </cell>
          <cell r="AO239">
            <v>-48769489</v>
          </cell>
          <cell r="AP239">
            <v>-77127072</v>
          </cell>
          <cell r="AQ239">
            <v>-33462803.420000002</v>
          </cell>
          <cell r="AR239">
            <v>-58400320.990000002</v>
          </cell>
          <cell r="AS239">
            <v>0</v>
          </cell>
          <cell r="AT239">
            <v>-849490</v>
          </cell>
          <cell r="AU239">
            <v>-5793393</v>
          </cell>
          <cell r="AV239">
            <v>-4185109</v>
          </cell>
          <cell r="AW239">
            <v>-839048</v>
          </cell>
          <cell r="AX239">
            <v>-4915107</v>
          </cell>
          <cell r="AY239">
            <v>0</v>
          </cell>
          <cell r="AZ239">
            <v>-760774</v>
          </cell>
          <cell r="BA239">
            <v>0</v>
          </cell>
          <cell r="BB239">
            <v>0</v>
          </cell>
          <cell r="BC239">
            <v>1890658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</row>
        <row r="240">
          <cell r="C240" t="str">
            <v>3.0.10</v>
          </cell>
          <cell r="D240" t="str">
            <v>Consumer</v>
          </cell>
          <cell r="E240">
            <v>25875001</v>
          </cell>
          <cell r="F240">
            <v>25875001</v>
          </cell>
          <cell r="G240">
            <v>25875001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15220738</v>
          </cell>
          <cell r="Z240">
            <v>4589107</v>
          </cell>
          <cell r="AA240">
            <v>1754670</v>
          </cell>
          <cell r="AB240">
            <v>68122</v>
          </cell>
          <cell r="AC240">
            <v>168773</v>
          </cell>
          <cell r="AD240">
            <v>44237</v>
          </cell>
          <cell r="AE240">
            <v>0</v>
          </cell>
          <cell r="AF240">
            <v>124899</v>
          </cell>
          <cell r="AG240">
            <v>93772</v>
          </cell>
          <cell r="AH240">
            <v>35580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-1646507</v>
          </cell>
          <cell r="AN240">
            <v>-743646</v>
          </cell>
          <cell r="AO240">
            <v>-315475</v>
          </cell>
          <cell r="AP240">
            <v>-52291</v>
          </cell>
          <cell r="AQ240">
            <v>-133223.67999999999</v>
          </cell>
          <cell r="AR240">
            <v>-2310.6999999999998</v>
          </cell>
          <cell r="AS240">
            <v>-281759.84999999998</v>
          </cell>
          <cell r="AT240">
            <v>-27509</v>
          </cell>
          <cell r="AU240">
            <v>-569207</v>
          </cell>
          <cell r="AV240">
            <v>-219519</v>
          </cell>
          <cell r="AW240">
            <v>-74461</v>
          </cell>
          <cell r="AX240">
            <v>11733</v>
          </cell>
          <cell r="AY240">
            <v>-2686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</row>
      </sheetData>
      <sheetData sheetId="15">
        <row r="6">
          <cell r="C6" t="str">
            <v>1.1.SPEC</v>
          </cell>
        </row>
        <row r="26">
          <cell r="C26" t="str">
            <v>1.1.OTH</v>
          </cell>
          <cell r="D26">
            <v>0</v>
          </cell>
          <cell r="E26">
            <v>136092124.09</v>
          </cell>
          <cell r="F26">
            <v>49666514.719999999</v>
          </cell>
          <cell r="G26">
            <v>23992098.260000002</v>
          </cell>
          <cell r="H26">
            <v>8008826.7999999998</v>
          </cell>
          <cell r="I26">
            <v>4440067.12</v>
          </cell>
          <cell r="J26">
            <v>2865825.07</v>
          </cell>
          <cell r="K26">
            <v>37144.5</v>
          </cell>
        </row>
        <row r="27">
          <cell r="C27" t="str">
            <v>1.1.SPEC</v>
          </cell>
          <cell r="D27">
            <v>0</v>
          </cell>
          <cell r="E27">
            <v>72807495.379999995</v>
          </cell>
          <cell r="F27">
            <v>30347401.68</v>
          </cell>
          <cell r="G27">
            <v>13055868.52</v>
          </cell>
          <cell r="H27">
            <v>2299514.56</v>
          </cell>
          <cell r="I27">
            <v>1381482.1</v>
          </cell>
          <cell r="J27">
            <v>10449.99</v>
          </cell>
          <cell r="K27">
            <v>0</v>
          </cell>
        </row>
        <row r="28">
          <cell r="C28" t="str">
            <v>1.1.PPPA</v>
          </cell>
          <cell r="D28">
            <v>0</v>
          </cell>
          <cell r="E28">
            <v>16897802.239999998</v>
          </cell>
          <cell r="F28">
            <v>7934890.2199999997</v>
          </cell>
          <cell r="G28">
            <v>3759572.25</v>
          </cell>
          <cell r="H28">
            <v>48556.56</v>
          </cell>
          <cell r="I28">
            <v>0</v>
          </cell>
          <cell r="J28">
            <v>0</v>
          </cell>
          <cell r="K28">
            <v>0</v>
          </cell>
        </row>
        <row r="29">
          <cell r="C29" t="str">
            <v>1.1.DAG</v>
          </cell>
          <cell r="D29">
            <v>0</v>
          </cell>
          <cell r="E29">
            <v>18671470.09</v>
          </cell>
          <cell r="F29">
            <v>6368844</v>
          </cell>
          <cell r="G29">
            <v>4504500.46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 t="str">
            <v>1.2.PPPA</v>
          </cell>
          <cell r="D30">
            <v>0</v>
          </cell>
          <cell r="E30">
            <v>4999288.66</v>
          </cell>
          <cell r="F30">
            <v>1953867.63</v>
          </cell>
          <cell r="G30">
            <v>1299628.1499999999</v>
          </cell>
          <cell r="H30">
            <v>235798.63</v>
          </cell>
          <cell r="I30">
            <v>348080.14</v>
          </cell>
          <cell r="J30">
            <v>0</v>
          </cell>
          <cell r="K30">
            <v>0</v>
          </cell>
        </row>
        <row r="31">
          <cell r="C31" t="str">
            <v>2.0.DAG</v>
          </cell>
          <cell r="D31">
            <v>0</v>
          </cell>
          <cell r="E31">
            <v>3000000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 t="str">
            <v>3.0.SPEC</v>
          </cell>
          <cell r="D32">
            <v>0</v>
          </cell>
          <cell r="E32">
            <v>58444702.840000004</v>
          </cell>
          <cell r="F32">
            <v>10948247.4</v>
          </cell>
          <cell r="G32">
            <v>102003.49</v>
          </cell>
          <cell r="H32">
            <v>26420.57</v>
          </cell>
          <cell r="I32">
            <v>0</v>
          </cell>
          <cell r="J32">
            <v>0</v>
          </cell>
          <cell r="K32">
            <v>0</v>
          </cell>
        </row>
        <row r="33">
          <cell r="C33" t="str">
            <v>3.0.3</v>
          </cell>
          <cell r="D33">
            <v>0</v>
          </cell>
          <cell r="E33">
            <v>27311384.32</v>
          </cell>
          <cell r="F33">
            <v>9914654.7599999998</v>
          </cell>
          <cell r="G33">
            <v>2308158.41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C34" t="str">
            <v>3.0.PPPA</v>
          </cell>
          <cell r="D34">
            <v>0</v>
          </cell>
          <cell r="E34">
            <v>9267863.8300000001</v>
          </cell>
          <cell r="F34">
            <v>5015870.8499999996</v>
          </cell>
          <cell r="G34">
            <v>2583826.2599999998</v>
          </cell>
          <cell r="H34">
            <v>1129234.73</v>
          </cell>
          <cell r="I34">
            <v>368916.93</v>
          </cell>
          <cell r="J34">
            <v>0</v>
          </cell>
          <cell r="K34">
            <v>0</v>
          </cell>
        </row>
        <row r="35">
          <cell r="C35" t="str">
            <v>3.0.DAG</v>
          </cell>
          <cell r="D35">
            <v>0</v>
          </cell>
          <cell r="E35">
            <v>8818751.1400000006</v>
          </cell>
          <cell r="F35">
            <v>6425730</v>
          </cell>
          <cell r="G35">
            <v>11563123.48</v>
          </cell>
          <cell r="H35">
            <v>13685000</v>
          </cell>
          <cell r="I35">
            <v>0</v>
          </cell>
          <cell r="J35">
            <v>0</v>
          </cell>
          <cell r="K35">
            <v>0</v>
          </cell>
        </row>
        <row r="36">
          <cell r="C36" t="str">
            <v>3.0.OTH</v>
          </cell>
          <cell r="D36">
            <v>0</v>
          </cell>
          <cell r="E36">
            <v>557100.26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C37" t="str">
            <v>4.0.SPEC</v>
          </cell>
          <cell r="D37">
            <v>0</v>
          </cell>
          <cell r="E37">
            <v>40444995.950000003</v>
          </cell>
          <cell r="F37">
            <v>22730628.460000001</v>
          </cell>
          <cell r="G37">
            <v>11532926.359999999</v>
          </cell>
          <cell r="H37">
            <v>1831336.51</v>
          </cell>
          <cell r="I37">
            <v>103670.61</v>
          </cell>
          <cell r="J37">
            <v>63628.37</v>
          </cell>
          <cell r="K37">
            <v>0</v>
          </cell>
        </row>
        <row r="38">
          <cell r="C38" t="str">
            <v>4.0.PPPA</v>
          </cell>
          <cell r="D38">
            <v>0</v>
          </cell>
          <cell r="E38">
            <v>12143355.810000001</v>
          </cell>
          <cell r="F38">
            <v>9303938.8200000003</v>
          </cell>
          <cell r="G38">
            <v>5357281.45</v>
          </cell>
          <cell r="H38">
            <v>2206520.84</v>
          </cell>
          <cell r="I38">
            <v>1352703.45</v>
          </cell>
          <cell r="J38">
            <v>184141.89</v>
          </cell>
          <cell r="K38">
            <v>0</v>
          </cell>
        </row>
        <row r="39">
          <cell r="C39" t="str">
            <v>4.0.OTH</v>
          </cell>
          <cell r="D39">
            <v>0</v>
          </cell>
          <cell r="E39">
            <v>23456137.5</v>
          </cell>
          <cell r="F39">
            <v>11998855.470000001</v>
          </cell>
          <cell r="G39">
            <v>14013625.16</v>
          </cell>
          <cell r="H39">
            <v>9282940.6500000004</v>
          </cell>
          <cell r="I39">
            <v>6904069.7300000004</v>
          </cell>
          <cell r="J39">
            <v>1794628.3</v>
          </cell>
          <cell r="K39">
            <v>75516.55</v>
          </cell>
        </row>
        <row r="40">
          <cell r="C40" t="str">
            <v>4.0.DAG</v>
          </cell>
          <cell r="D40">
            <v>0</v>
          </cell>
          <cell r="E40">
            <v>2230173.0499999998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C41" t="str">
            <v>4.0.7</v>
          </cell>
          <cell r="D41">
            <v>0</v>
          </cell>
          <cell r="E41">
            <v>626774300.05999899</v>
          </cell>
          <cell r="F41">
            <v>121488543.31</v>
          </cell>
          <cell r="G41">
            <v>5440131.8700000001</v>
          </cell>
          <cell r="H41">
            <v>197950.84</v>
          </cell>
          <cell r="I41">
            <v>0</v>
          </cell>
          <cell r="J41">
            <v>0</v>
          </cell>
          <cell r="K41">
            <v>0</v>
          </cell>
        </row>
        <row r="42">
          <cell r="C42" t="str">
            <v>4.0.8</v>
          </cell>
          <cell r="D42">
            <v>0</v>
          </cell>
          <cell r="E42">
            <v>126088395.28</v>
          </cell>
          <cell r="F42">
            <v>7206941.8899999997</v>
          </cell>
          <cell r="G42">
            <v>3286263.08</v>
          </cell>
          <cell r="H42">
            <v>1428735.81</v>
          </cell>
          <cell r="I42">
            <v>2093194.97</v>
          </cell>
          <cell r="J42">
            <v>18000</v>
          </cell>
          <cell r="K42">
            <v>0</v>
          </cell>
        </row>
        <row r="43">
          <cell r="C43" t="str">
            <v>4.0.10</v>
          </cell>
          <cell r="D43">
            <v>0</v>
          </cell>
          <cell r="E43">
            <v>41033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131">
          <cell r="C131" t="str">
            <v>CATPOL</v>
          </cell>
          <cell r="D131" t="str">
            <v>Description</v>
          </cell>
          <cell r="E131" t="str">
            <v>2014</v>
          </cell>
          <cell r="F131" t="str">
            <v>2015</v>
          </cell>
          <cell r="G131" t="str">
            <v>2016</v>
          </cell>
          <cell r="H131" t="str">
            <v>2017</v>
          </cell>
          <cell r="I131" t="str">
            <v>2018</v>
          </cell>
          <cell r="J131" t="str">
            <v>2019</v>
          </cell>
          <cell r="K131" t="str">
            <v>2020</v>
          </cell>
          <cell r="L131">
            <v>0</v>
          </cell>
          <cell r="M131" t="str">
            <v>Start2014</v>
          </cell>
          <cell r="N131" t="str">
            <v>Start2015</v>
          </cell>
          <cell r="O131" t="str">
            <v>Start2016</v>
          </cell>
          <cell r="P131" t="str">
            <v>Start2017</v>
          </cell>
          <cell r="Q131" t="str">
            <v>Start2018</v>
          </cell>
          <cell r="R131" t="str">
            <v>Start2019</v>
          </cell>
          <cell r="S131" t="str">
            <v>Start2020</v>
          </cell>
        </row>
        <row r="132">
          <cell r="C132" t="str">
            <v>1.1.11</v>
          </cell>
          <cell r="D132" t="str">
            <v>European satellite navigation systems (EGNOS and Galileo)</v>
          </cell>
          <cell r="E132">
            <v>0</v>
          </cell>
          <cell r="F132">
            <v>0</v>
          </cell>
          <cell r="G132">
            <v>-73996.02</v>
          </cell>
          <cell r="H132">
            <v>-311919.71999999997</v>
          </cell>
          <cell r="I132">
            <v>-94865.15</v>
          </cell>
          <cell r="J132">
            <v>0</v>
          </cell>
          <cell r="K132">
            <v>0</v>
          </cell>
          <cell r="L132">
            <v>0</v>
          </cell>
          <cell r="M132">
            <v>379998983.35000002</v>
          </cell>
          <cell r="N132">
            <v>219064938.22</v>
          </cell>
          <cell r="O132">
            <v>78597150.680000007</v>
          </cell>
          <cell r="P132">
            <v>53936421.130000003</v>
          </cell>
          <cell r="Q132">
            <v>6669862.46</v>
          </cell>
          <cell r="R132">
            <v>314158.38</v>
          </cell>
          <cell r="S132">
            <v>314158.38</v>
          </cell>
        </row>
        <row r="133">
          <cell r="C133" t="str">
            <v>1.1.12</v>
          </cell>
          <cell r="D133" t="str">
            <v>International Thermonuclear Experimental Reactor (ITER)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2076222176</v>
          </cell>
          <cell r="N133">
            <v>1708756224</v>
          </cell>
          <cell r="O133">
            <v>1469068062.6800001</v>
          </cell>
          <cell r="P133">
            <v>1130983062.75</v>
          </cell>
          <cell r="Q133">
            <v>795540262.75</v>
          </cell>
          <cell r="R133">
            <v>545740262.75</v>
          </cell>
          <cell r="S133">
            <v>348435879.75</v>
          </cell>
        </row>
        <row r="134">
          <cell r="C134" t="str">
            <v>1.1.13</v>
          </cell>
          <cell r="D134" t="str">
            <v>European Earth Observation Programme (Copernicus)</v>
          </cell>
          <cell r="E134">
            <v>0</v>
          </cell>
          <cell r="F134">
            <v>0</v>
          </cell>
          <cell r="G134">
            <v>-391049.63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20491874.329999998</v>
          </cell>
          <cell r="N134">
            <v>2672664.4500000002</v>
          </cell>
          <cell r="O134">
            <v>1127696.6299999999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C135" t="str">
            <v>1.1.2</v>
          </cell>
          <cell r="D135" t="str">
            <v>Nuclear Safety and Decommissioning</v>
          </cell>
          <cell r="E135">
            <v>0</v>
          </cell>
          <cell r="F135">
            <v>0</v>
          </cell>
          <cell r="G135">
            <v>0</v>
          </cell>
          <cell r="H135">
            <v>-18771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932686169.5</v>
          </cell>
          <cell r="N135">
            <v>767988316.79999995</v>
          </cell>
          <cell r="O135">
            <v>620489092.07000005</v>
          </cell>
          <cell r="P135">
            <v>470320551.95999998</v>
          </cell>
          <cell r="Q135">
            <v>209518213.00999999</v>
          </cell>
          <cell r="R135">
            <v>96740718.719999999</v>
          </cell>
          <cell r="S135">
            <v>34697265.310000002</v>
          </cell>
        </row>
        <row r="136">
          <cell r="C136" t="str">
            <v>1.1.31</v>
          </cell>
          <cell r="D136" t="str">
            <v>Horizon 2020</v>
          </cell>
          <cell r="E136">
            <v>62965447.950000003</v>
          </cell>
          <cell r="F136">
            <v>6613455.8399999999</v>
          </cell>
          <cell r="G136">
            <v>-145108790.86000001</v>
          </cell>
          <cell r="H136">
            <v>-353858146.98000002</v>
          </cell>
          <cell r="I136">
            <v>-187612305.28</v>
          </cell>
          <cell r="J136">
            <v>-237455536.18000001</v>
          </cell>
          <cell r="K136">
            <v>-3726265.4</v>
          </cell>
          <cell r="L136">
            <v>0</v>
          </cell>
          <cell r="M136">
            <v>16489970681.91</v>
          </cell>
          <cell r="N136">
            <v>9663470186.7099991</v>
          </cell>
          <cell r="O136">
            <v>5812513781.3500004</v>
          </cell>
          <cell r="P136">
            <v>3376672508.75</v>
          </cell>
          <cell r="Q136">
            <v>1701548086.6900001</v>
          </cell>
          <cell r="R136">
            <v>918087943.23000002</v>
          </cell>
          <cell r="S136">
            <v>481205127.69999999</v>
          </cell>
        </row>
        <row r="137">
          <cell r="C137" t="str">
            <v>1.1.32</v>
          </cell>
          <cell r="D137" t="str">
            <v>Euratom Research and Training Programme</v>
          </cell>
          <cell r="E137">
            <v>2356068.15</v>
          </cell>
          <cell r="F137">
            <v>2271494.35</v>
          </cell>
          <cell r="G137">
            <v>-3011676.46</v>
          </cell>
          <cell r="H137">
            <v>-8388137.9000000004</v>
          </cell>
          <cell r="I137">
            <v>-61667.49</v>
          </cell>
          <cell r="J137">
            <v>0</v>
          </cell>
          <cell r="K137">
            <v>0</v>
          </cell>
          <cell r="L137">
            <v>0</v>
          </cell>
          <cell r="M137">
            <v>145702030.03</v>
          </cell>
          <cell r="N137">
            <v>78444928.819999993</v>
          </cell>
          <cell r="O137">
            <v>41098463.049999997</v>
          </cell>
          <cell r="P137">
            <v>26648337.100000001</v>
          </cell>
          <cell r="Q137">
            <v>11925873.1</v>
          </cell>
          <cell r="R137">
            <v>9609015.2400000002</v>
          </cell>
          <cell r="S137">
            <v>8484079.0399999991</v>
          </cell>
        </row>
        <row r="138">
          <cell r="C138" t="str">
            <v>1.1.4</v>
          </cell>
          <cell r="D138" t="str">
            <v>Competitiveness of enterprises and small and medium-sized enterprises (COSME)</v>
          </cell>
          <cell r="E138">
            <v>162683.96</v>
          </cell>
          <cell r="F138">
            <v>477553.2</v>
          </cell>
          <cell r="G138">
            <v>-34877687.479999997</v>
          </cell>
          <cell r="H138">
            <v>-72208590.969999999</v>
          </cell>
          <cell r="I138">
            <v>-53153057.189999998</v>
          </cell>
          <cell r="J138">
            <v>-11364061.619999999</v>
          </cell>
          <cell r="K138">
            <v>0</v>
          </cell>
          <cell r="L138">
            <v>0</v>
          </cell>
          <cell r="M138">
            <v>842472860.58000004</v>
          </cell>
          <cell r="N138">
            <v>686832931.67999995</v>
          </cell>
          <cell r="O138">
            <v>523918660.42000002</v>
          </cell>
          <cell r="P138">
            <v>388344565.17000002</v>
          </cell>
          <cell r="Q138">
            <v>290012408.47000003</v>
          </cell>
          <cell r="R138">
            <v>186754645.78</v>
          </cell>
          <cell r="S138">
            <v>142404870.05000001</v>
          </cell>
        </row>
        <row r="139">
          <cell r="C139" t="str">
            <v>1.1.5</v>
          </cell>
          <cell r="D139" t="str">
            <v>Education, Training and Sport (Erasmus+)</v>
          </cell>
          <cell r="E139">
            <v>3231388.51</v>
          </cell>
          <cell r="F139">
            <v>525422.56999999995</v>
          </cell>
          <cell r="G139">
            <v>-15623319.9</v>
          </cell>
          <cell r="H139">
            <v>-11572137.33</v>
          </cell>
          <cell r="I139">
            <v>-4044631.61</v>
          </cell>
          <cell r="J139">
            <v>-367598.4</v>
          </cell>
          <cell r="K139">
            <v>0</v>
          </cell>
          <cell r="L139">
            <v>0</v>
          </cell>
          <cell r="M139">
            <v>428820933.48000002</v>
          </cell>
          <cell r="N139">
            <v>170492870.81999999</v>
          </cell>
          <cell r="O139">
            <v>64513707.270000003</v>
          </cell>
          <cell r="P139">
            <v>23293014.489999998</v>
          </cell>
          <cell r="Q139">
            <v>4991920.12</v>
          </cell>
          <cell r="R139">
            <v>702907.07</v>
          </cell>
          <cell r="S139">
            <v>326308.67</v>
          </cell>
        </row>
        <row r="140">
          <cell r="C140" t="str">
            <v>1.1.6</v>
          </cell>
          <cell r="D140" t="str">
            <v>Employment and Social Innovation (EaSI)</v>
          </cell>
          <cell r="E140">
            <v>0</v>
          </cell>
          <cell r="F140">
            <v>6864.32</v>
          </cell>
          <cell r="G140">
            <v>-4531922.47</v>
          </cell>
          <cell r="H140">
            <v>-2146238.69</v>
          </cell>
          <cell r="I140">
            <v>-1002720.41</v>
          </cell>
          <cell r="J140">
            <v>-11450737.4</v>
          </cell>
          <cell r="K140">
            <v>0</v>
          </cell>
          <cell r="L140">
            <v>0</v>
          </cell>
          <cell r="M140">
            <v>164992338.94</v>
          </cell>
          <cell r="N140">
            <v>63858795.689999998</v>
          </cell>
          <cell r="O140">
            <v>28120722.210000001</v>
          </cell>
          <cell r="P140">
            <v>14760795.93</v>
          </cell>
          <cell r="Q140">
            <v>11582827.970000001</v>
          </cell>
          <cell r="R140">
            <v>11360849.65</v>
          </cell>
          <cell r="S140">
            <v>226871.56</v>
          </cell>
        </row>
        <row r="141">
          <cell r="C141" t="str">
            <v>1.1.7</v>
          </cell>
          <cell r="D141" t="str">
            <v>Customs, Fiscalis and Anti-Fraud</v>
          </cell>
          <cell r="E141">
            <v>0</v>
          </cell>
          <cell r="F141">
            <v>2338.92</v>
          </cell>
          <cell r="G141">
            <v>-5056542.1500000004</v>
          </cell>
          <cell r="H141">
            <v>-1531024.83</v>
          </cell>
          <cell r="I141">
            <v>0</v>
          </cell>
          <cell r="J141">
            <v>-234.2</v>
          </cell>
          <cell r="K141">
            <v>0</v>
          </cell>
          <cell r="L141">
            <v>0</v>
          </cell>
          <cell r="M141">
            <v>124688136.53</v>
          </cell>
          <cell r="N141">
            <v>40022732.770000003</v>
          </cell>
          <cell r="O141">
            <v>8437056.9199999999</v>
          </cell>
          <cell r="P141">
            <v>1903807.86</v>
          </cell>
          <cell r="Q141">
            <v>234.2</v>
          </cell>
          <cell r="R141">
            <v>234.2</v>
          </cell>
          <cell r="S141">
            <v>0</v>
          </cell>
        </row>
        <row r="142">
          <cell r="C142" t="str">
            <v>1.1.81</v>
          </cell>
          <cell r="D142" t="str">
            <v>Energy</v>
          </cell>
          <cell r="E142">
            <v>0</v>
          </cell>
          <cell r="F142">
            <v>0</v>
          </cell>
          <cell r="G142">
            <v>-14218024.68</v>
          </cell>
          <cell r="H142">
            <v>0</v>
          </cell>
          <cell r="I142">
            <v>-6373989.8200000003</v>
          </cell>
          <cell r="J142">
            <v>-4594909.45</v>
          </cell>
          <cell r="K142">
            <v>0</v>
          </cell>
          <cell r="L142">
            <v>0</v>
          </cell>
          <cell r="M142">
            <v>108184114.11</v>
          </cell>
          <cell r="N142">
            <v>62001618.829999998</v>
          </cell>
          <cell r="O142">
            <v>38698493.100000001</v>
          </cell>
          <cell r="P142">
            <v>18502745.75</v>
          </cell>
          <cell r="Q142">
            <v>13918690.32</v>
          </cell>
          <cell r="R142">
            <v>6766482.0300000003</v>
          </cell>
          <cell r="S142">
            <v>1614246</v>
          </cell>
        </row>
        <row r="143">
          <cell r="C143" t="str">
            <v>1.1.82</v>
          </cell>
          <cell r="D143" t="str">
            <v>Transport</v>
          </cell>
          <cell r="E143">
            <v>76635</v>
          </cell>
          <cell r="F143">
            <v>0</v>
          </cell>
          <cell r="G143">
            <v>-97666503.590000004</v>
          </cell>
          <cell r="H143">
            <v>-636805325.54999995</v>
          </cell>
          <cell r="I143">
            <v>-261983465.31</v>
          </cell>
          <cell r="J143">
            <v>-9704411.3900000006</v>
          </cell>
          <cell r="K143">
            <v>0</v>
          </cell>
          <cell r="L143">
            <v>0</v>
          </cell>
          <cell r="M143">
            <v>3655704627.9099998</v>
          </cell>
          <cell r="N143">
            <v>2028950862.71</v>
          </cell>
          <cell r="O143">
            <v>1275962670.5999999</v>
          </cell>
          <cell r="P143">
            <v>965286436.5</v>
          </cell>
          <cell r="Q143">
            <v>265860436.09</v>
          </cell>
          <cell r="R143">
            <v>13231582</v>
          </cell>
          <cell r="S143">
            <v>1815988.92</v>
          </cell>
        </row>
        <row r="144">
          <cell r="C144" t="str">
            <v>1.1.83</v>
          </cell>
          <cell r="D144" t="str">
            <v>Information and Communications Technology (ICT)</v>
          </cell>
          <cell r="E144">
            <v>1410</v>
          </cell>
          <cell r="F144">
            <v>48528.67</v>
          </cell>
          <cell r="G144">
            <v>-11770.15</v>
          </cell>
          <cell r="H144">
            <v>0</v>
          </cell>
          <cell r="I144">
            <v>-304.77999999999997</v>
          </cell>
          <cell r="J144">
            <v>0</v>
          </cell>
          <cell r="K144">
            <v>0</v>
          </cell>
          <cell r="L144">
            <v>0</v>
          </cell>
          <cell r="M144">
            <v>11748678.16</v>
          </cell>
          <cell r="N144">
            <v>6118107.5999999996</v>
          </cell>
          <cell r="O144">
            <v>647084.14</v>
          </cell>
          <cell r="P144">
            <v>321946.99</v>
          </cell>
          <cell r="Q144">
            <v>121436.24</v>
          </cell>
          <cell r="R144">
            <v>91470.63</v>
          </cell>
          <cell r="S144">
            <v>91470.63</v>
          </cell>
        </row>
        <row r="145">
          <cell r="C145" t="str">
            <v>1.1.9</v>
          </cell>
          <cell r="D145" t="str">
            <v>Energy projects to aid economic recovery (EERP)</v>
          </cell>
          <cell r="E145">
            <v>0</v>
          </cell>
          <cell r="F145">
            <v>0</v>
          </cell>
          <cell r="G145">
            <v>-227423799.71000001</v>
          </cell>
          <cell r="H145">
            <v>-123595.5</v>
          </cell>
          <cell r="I145">
            <v>-132000557.12</v>
          </cell>
          <cell r="J145">
            <v>-47839388.979999997</v>
          </cell>
          <cell r="K145">
            <v>0</v>
          </cell>
          <cell r="L145">
            <v>0</v>
          </cell>
          <cell r="M145">
            <v>2401934905.0799999</v>
          </cell>
          <cell r="N145">
            <v>2007150262.5699999</v>
          </cell>
          <cell r="O145">
            <v>1110668836.4300001</v>
          </cell>
          <cell r="P145">
            <v>694190138.58000004</v>
          </cell>
          <cell r="Q145">
            <v>545429472.67999995</v>
          </cell>
          <cell r="R145">
            <v>254328668.16999999</v>
          </cell>
          <cell r="S145">
            <v>171940147.84</v>
          </cell>
        </row>
        <row r="146">
          <cell r="C146" t="str">
            <v>1.1.DAG</v>
          </cell>
          <cell r="D146" t="str">
            <v>Decentralised agencies</v>
          </cell>
          <cell r="E146">
            <v>0</v>
          </cell>
          <cell r="F146">
            <v>0</v>
          </cell>
          <cell r="G146">
            <v>-1089386.1299999999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39658306.130000003</v>
          </cell>
          <cell r="N146">
            <v>11962730.59</v>
          </cell>
          <cell r="O146">
            <v>5593886.5899999999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C147" t="str">
            <v>1.1.OTH</v>
          </cell>
          <cell r="D147" t="str">
            <v>Other actions and programmes</v>
          </cell>
          <cell r="E147">
            <v>8080004.9400000004</v>
          </cell>
          <cell r="F147">
            <v>9279255.8900000006</v>
          </cell>
          <cell r="G147">
            <v>-17702676.68</v>
          </cell>
          <cell r="H147">
            <v>-3455509.21</v>
          </cell>
          <cell r="I147">
            <v>-4443226.3499999996</v>
          </cell>
          <cell r="J147">
            <v>-6350236.79</v>
          </cell>
          <cell r="K147">
            <v>-1683310.24</v>
          </cell>
          <cell r="L147">
            <v>0</v>
          </cell>
          <cell r="M147">
            <v>432767521.52999997</v>
          </cell>
          <cell r="N147">
            <v>178350440.03999999</v>
          </cell>
          <cell r="O147">
            <v>88880894.700000003</v>
          </cell>
          <cell r="P147">
            <v>46657566.609999999</v>
          </cell>
          <cell r="Q147">
            <v>35658735.369999997</v>
          </cell>
          <cell r="R147">
            <v>27093183.18</v>
          </cell>
          <cell r="S147">
            <v>17877121.32</v>
          </cell>
        </row>
        <row r="148">
          <cell r="C148" t="str">
            <v>1.1.PPPA</v>
          </cell>
          <cell r="D148" t="str">
            <v>Pilot projects and preparatory actions</v>
          </cell>
          <cell r="E148">
            <v>0</v>
          </cell>
          <cell r="F148">
            <v>0</v>
          </cell>
          <cell r="G148">
            <v>-1140875.93</v>
          </cell>
          <cell r="H148">
            <v>-330837.55</v>
          </cell>
          <cell r="I148">
            <v>-165945.96</v>
          </cell>
          <cell r="J148">
            <v>-5104239.33</v>
          </cell>
          <cell r="K148">
            <v>0</v>
          </cell>
          <cell r="L148">
            <v>0</v>
          </cell>
          <cell r="M148">
            <v>43931895.710000001</v>
          </cell>
          <cell r="N148">
            <v>17243511.329999998</v>
          </cell>
          <cell r="O148">
            <v>7952385.4299999997</v>
          </cell>
          <cell r="P148">
            <v>4593262.84</v>
          </cell>
          <cell r="Q148">
            <v>5918502.9699999997</v>
          </cell>
          <cell r="R148">
            <v>5752557.0099999998</v>
          </cell>
          <cell r="S148">
            <v>648317.68000000005</v>
          </cell>
        </row>
        <row r="149">
          <cell r="C149" t="str">
            <v>1.1.SPEC</v>
          </cell>
          <cell r="D149" t="str">
            <v>Actions financed under the prerogatives of the Commission and specific competences conferred to the Commission</v>
          </cell>
          <cell r="E149">
            <v>0</v>
          </cell>
          <cell r="F149">
            <v>0</v>
          </cell>
          <cell r="G149">
            <v>-4693327.18</v>
          </cell>
          <cell r="H149">
            <v>-1639334.31</v>
          </cell>
          <cell r="I149">
            <v>-435019.09</v>
          </cell>
          <cell r="J149">
            <v>-4287210</v>
          </cell>
          <cell r="K149">
            <v>0</v>
          </cell>
          <cell r="L149">
            <v>0</v>
          </cell>
          <cell r="M149">
            <v>170784646.05000001</v>
          </cell>
          <cell r="N149">
            <v>62083066.659999996</v>
          </cell>
          <cell r="O149">
            <v>26214444.989999998</v>
          </cell>
          <cell r="P149">
            <v>9849549.3699999992</v>
          </cell>
          <cell r="Q149">
            <v>6465551.0899999999</v>
          </cell>
          <cell r="R149">
            <v>4649049.9000000004</v>
          </cell>
          <cell r="S149">
            <v>467560.65</v>
          </cell>
        </row>
        <row r="150">
          <cell r="C150" t="str">
            <v>1.2.11</v>
          </cell>
          <cell r="D150" t="str">
            <v>Regional convergence (Less developed regions)</v>
          </cell>
          <cell r="E150">
            <v>0</v>
          </cell>
          <cell r="F150">
            <v>0</v>
          </cell>
          <cell r="G150">
            <v>-544916047.58000004</v>
          </cell>
          <cell r="H150">
            <v>-1533503886.77</v>
          </cell>
          <cell r="I150">
            <v>-253082310.81999999</v>
          </cell>
          <cell r="J150">
            <v>-315282227.75</v>
          </cell>
          <cell r="K150">
            <v>-304207949.56999999</v>
          </cell>
          <cell r="L150">
            <v>0</v>
          </cell>
          <cell r="M150">
            <v>81947949669.350006</v>
          </cell>
          <cell r="N150">
            <v>51252414183.559998</v>
          </cell>
          <cell r="O150">
            <v>26560253479.549999</v>
          </cell>
          <cell r="P150">
            <v>13802800621.690001</v>
          </cell>
          <cell r="Q150">
            <v>8968201004.5200005</v>
          </cell>
          <cell r="R150">
            <v>4012330042.4899998</v>
          </cell>
          <cell r="S150">
            <v>2848745561.98</v>
          </cell>
        </row>
        <row r="151">
          <cell r="C151" t="str">
            <v>1.2.12</v>
          </cell>
          <cell r="D151" t="str">
            <v>Transition regions</v>
          </cell>
          <cell r="E151">
            <v>0</v>
          </cell>
          <cell r="F151">
            <v>0</v>
          </cell>
          <cell r="G151">
            <v>-13622426.039999999</v>
          </cell>
          <cell r="H151">
            <v>0</v>
          </cell>
          <cell r="I151">
            <v>0</v>
          </cell>
          <cell r="J151">
            <v>-486312</v>
          </cell>
          <cell r="K151">
            <v>0</v>
          </cell>
          <cell r="L151">
            <v>0</v>
          </cell>
          <cell r="M151">
            <v>71079918.519999996</v>
          </cell>
          <cell r="N151">
            <v>61116019.609999999</v>
          </cell>
          <cell r="O151">
            <v>53108233.539999999</v>
          </cell>
          <cell r="P151">
            <v>38000314.5</v>
          </cell>
          <cell r="Q151">
            <v>38000314.5</v>
          </cell>
          <cell r="R151">
            <v>38000314.5</v>
          </cell>
          <cell r="S151">
            <v>37062022.5</v>
          </cell>
        </row>
        <row r="152">
          <cell r="C152" t="str">
            <v>1.2.13</v>
          </cell>
          <cell r="D152" t="str">
            <v>Competitiveness (More developed regions)</v>
          </cell>
          <cell r="E152">
            <v>0</v>
          </cell>
          <cell r="F152">
            <v>0</v>
          </cell>
          <cell r="G152">
            <v>-6806444.3600000003</v>
          </cell>
          <cell r="H152">
            <v>-352334121.54000002</v>
          </cell>
          <cell r="I152">
            <v>-30881467.039999999</v>
          </cell>
          <cell r="J152">
            <v>-2799751.4</v>
          </cell>
          <cell r="K152">
            <v>0</v>
          </cell>
          <cell r="L152">
            <v>0</v>
          </cell>
          <cell r="M152">
            <v>19264937886.549999</v>
          </cell>
          <cell r="N152">
            <v>11647481815.9</v>
          </cell>
          <cell r="O152">
            <v>5154458193.7399998</v>
          </cell>
          <cell r="P152">
            <v>2854540737.8899999</v>
          </cell>
          <cell r="Q152">
            <v>1787564078.8299999</v>
          </cell>
          <cell r="R152">
            <v>679624276.34000003</v>
          </cell>
          <cell r="S152">
            <v>416136418.75</v>
          </cell>
        </row>
        <row r="153">
          <cell r="C153" t="str">
            <v>1.2.15</v>
          </cell>
          <cell r="D153" t="str">
            <v>Cohesion fund</v>
          </cell>
          <cell r="E153">
            <v>0</v>
          </cell>
          <cell r="F153">
            <v>0</v>
          </cell>
          <cell r="G153">
            <v>-55150002.479999997</v>
          </cell>
          <cell r="H153">
            <v>-940301715.38</v>
          </cell>
          <cell r="I153">
            <v>-10878543.289999999</v>
          </cell>
          <cell r="J153">
            <v>-2950292.67</v>
          </cell>
          <cell r="K153">
            <v>0</v>
          </cell>
          <cell r="L153">
            <v>0</v>
          </cell>
          <cell r="M153">
            <v>31993555128.599998</v>
          </cell>
          <cell r="N153">
            <v>18371827822.220001</v>
          </cell>
          <cell r="O153">
            <v>7360422909.7299995</v>
          </cell>
          <cell r="P153">
            <v>4094023280.46</v>
          </cell>
          <cell r="Q153">
            <v>1492869708.6500001</v>
          </cell>
          <cell r="R153">
            <v>646269131.28999996</v>
          </cell>
          <cell r="S153">
            <v>276059317.56999999</v>
          </cell>
        </row>
        <row r="154">
          <cell r="C154" t="str">
            <v>1.2.2</v>
          </cell>
          <cell r="D154" t="str">
            <v>European territorial cooperation</v>
          </cell>
          <cell r="E154">
            <v>0</v>
          </cell>
          <cell r="F154">
            <v>0</v>
          </cell>
          <cell r="G154">
            <v>-29667</v>
          </cell>
          <cell r="H154">
            <v>-176339340.15000001</v>
          </cell>
          <cell r="I154">
            <v>-14982179.49</v>
          </cell>
          <cell r="J154">
            <v>-1954527.51</v>
          </cell>
          <cell r="K154">
            <v>0</v>
          </cell>
          <cell r="L154">
            <v>0</v>
          </cell>
          <cell r="M154">
            <v>3742164472.3499999</v>
          </cell>
          <cell r="N154">
            <v>2020086716.97</v>
          </cell>
          <cell r="O154">
            <v>888520300.64999998</v>
          </cell>
          <cell r="P154">
            <v>517940823.83999997</v>
          </cell>
          <cell r="Q154">
            <v>219356700.52000001</v>
          </cell>
          <cell r="R154">
            <v>100985524.55</v>
          </cell>
          <cell r="S154">
            <v>97242175.239999995</v>
          </cell>
        </row>
        <row r="155">
          <cell r="C155" t="str">
            <v>1.2.31</v>
          </cell>
          <cell r="D155" t="str">
            <v>Technical assistance</v>
          </cell>
          <cell r="E155">
            <v>0</v>
          </cell>
          <cell r="F155">
            <v>0</v>
          </cell>
          <cell r="G155">
            <v>-7122990.0199999996</v>
          </cell>
          <cell r="H155">
            <v>-139276.35</v>
          </cell>
          <cell r="I155">
            <v>-198203.38</v>
          </cell>
          <cell r="J155">
            <v>-1496166.73</v>
          </cell>
          <cell r="K155">
            <v>0</v>
          </cell>
          <cell r="L155">
            <v>0</v>
          </cell>
          <cell r="M155">
            <v>73146991.450000003</v>
          </cell>
          <cell r="N155">
            <v>20087493.739999998</v>
          </cell>
          <cell r="O155">
            <v>11712797.970000001</v>
          </cell>
          <cell r="P155">
            <v>3117884.34</v>
          </cell>
          <cell r="Q155">
            <v>2324370.11</v>
          </cell>
          <cell r="R155">
            <v>1496166.73</v>
          </cell>
          <cell r="S155">
            <v>0</v>
          </cell>
        </row>
        <row r="156">
          <cell r="C156" t="str">
            <v>1.2.PPPA</v>
          </cell>
          <cell r="D156" t="str">
            <v>Pilot projects and preparatory actions</v>
          </cell>
          <cell r="E156">
            <v>0</v>
          </cell>
          <cell r="F156">
            <v>0</v>
          </cell>
          <cell r="G156">
            <v>-1121689</v>
          </cell>
          <cell r="H156">
            <v>-814439.69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11763820.869999999</v>
          </cell>
          <cell r="N156">
            <v>5258152.0999999996</v>
          </cell>
          <cell r="O156">
            <v>3524755.61</v>
          </cell>
          <cell r="P156">
            <v>1478318.46</v>
          </cell>
          <cell r="Q156">
            <v>428080.14</v>
          </cell>
          <cell r="R156">
            <v>80000</v>
          </cell>
          <cell r="S156">
            <v>80000</v>
          </cell>
        </row>
        <row r="157">
          <cell r="C157" t="str">
            <v>2.0.10</v>
          </cell>
          <cell r="D157" t="str">
            <v>European Agricultural Guarantee Fund (EAGF) -  Market related expenditure and direct payments</v>
          </cell>
          <cell r="E157">
            <v>0</v>
          </cell>
          <cell r="F157">
            <v>0</v>
          </cell>
          <cell r="G157">
            <v>-378796.81</v>
          </cell>
          <cell r="H157">
            <v>-129256.63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39828924.859999999</v>
          </cell>
          <cell r="N157">
            <v>16377668.25</v>
          </cell>
          <cell r="O157">
            <v>3203484.58</v>
          </cell>
          <cell r="P157">
            <v>499687.77</v>
          </cell>
          <cell r="Q157">
            <v>0</v>
          </cell>
          <cell r="R157">
            <v>0</v>
          </cell>
          <cell r="S157">
            <v>0</v>
          </cell>
        </row>
        <row r="158">
          <cell r="C158" t="str">
            <v>2.0.20</v>
          </cell>
          <cell r="D158" t="str">
            <v>European Agricultural Fund for Rural Development (EAFRD)</v>
          </cell>
          <cell r="E158">
            <v>0</v>
          </cell>
          <cell r="F158">
            <v>0</v>
          </cell>
          <cell r="G158">
            <v>-1313215016.04</v>
          </cell>
          <cell r="H158">
            <v>-143889012.40000001</v>
          </cell>
          <cell r="I158">
            <v>-106923698.94</v>
          </cell>
          <cell r="J158">
            <v>-36417496.060000002</v>
          </cell>
          <cell r="K158">
            <v>0</v>
          </cell>
          <cell r="L158">
            <v>0</v>
          </cell>
          <cell r="M158">
            <v>0</v>
          </cell>
          <cell r="N158">
            <v>13470066149.85</v>
          </cell>
          <cell r="O158">
            <v>6693850471.3400002</v>
          </cell>
          <cell r="P158">
            <v>845673349.54999995</v>
          </cell>
          <cell r="Q158">
            <v>658691202.98000002</v>
          </cell>
          <cell r="R158">
            <v>326999503.23000002</v>
          </cell>
          <cell r="S158">
            <v>385558.27</v>
          </cell>
        </row>
        <row r="159">
          <cell r="C159" t="str">
            <v>2.0.31</v>
          </cell>
          <cell r="D159" t="str">
            <v>European Maritime and Fisheries Fund (EMFF)</v>
          </cell>
          <cell r="E159">
            <v>0</v>
          </cell>
          <cell r="F159">
            <v>0</v>
          </cell>
          <cell r="G159">
            <v>-32879601.550000001</v>
          </cell>
          <cell r="H159">
            <v>-26022650.91</v>
          </cell>
          <cell r="I159">
            <v>-231130439.15000001</v>
          </cell>
          <cell r="J159">
            <v>-3532059.7</v>
          </cell>
          <cell r="K159">
            <v>0</v>
          </cell>
          <cell r="L159">
            <v>0</v>
          </cell>
          <cell r="M159">
            <v>2340889845.77</v>
          </cell>
          <cell r="N159">
            <v>1464227674.54</v>
          </cell>
          <cell r="O159">
            <v>623725031.76999998</v>
          </cell>
          <cell r="P159">
            <v>404821362.31999999</v>
          </cell>
          <cell r="Q159">
            <v>363970563.98000002</v>
          </cell>
          <cell r="R159">
            <v>108026588.81</v>
          </cell>
          <cell r="S159">
            <v>99435052.989999995</v>
          </cell>
        </row>
        <row r="160">
          <cell r="C160" t="str">
            <v>2.0.32</v>
          </cell>
          <cell r="D160" t="str">
            <v>Sustainable Fisheries Partnership Agreements (SFPAs) and compulsory contributions to Regional Fisheries Management Organisations (RFMOs) and to other international organisations</v>
          </cell>
          <cell r="E160">
            <v>0</v>
          </cell>
          <cell r="F160">
            <v>0</v>
          </cell>
          <cell r="G160">
            <v>-1500000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13621043.960000001</v>
          </cell>
          <cell r="N160">
            <v>7500000</v>
          </cell>
          <cell r="O160">
            <v>7500000</v>
          </cell>
          <cell r="P160">
            <v>6000000</v>
          </cell>
          <cell r="Q160">
            <v>0</v>
          </cell>
          <cell r="R160">
            <v>0</v>
          </cell>
          <cell r="S160">
            <v>0</v>
          </cell>
        </row>
        <row r="161">
          <cell r="C161" t="str">
            <v>2.0.4</v>
          </cell>
          <cell r="D161" t="str">
            <v>Environment and climate action (LIFE)</v>
          </cell>
          <cell r="E161">
            <v>187960.3</v>
          </cell>
          <cell r="F161">
            <v>0</v>
          </cell>
          <cell r="G161">
            <v>-447002.83</v>
          </cell>
          <cell r="H161">
            <v>-1234780.78</v>
          </cell>
          <cell r="I161">
            <v>-45095.73</v>
          </cell>
          <cell r="J161">
            <v>-128555960.05</v>
          </cell>
          <cell r="K161">
            <v>0</v>
          </cell>
          <cell r="L161">
            <v>0</v>
          </cell>
          <cell r="M161">
            <v>1057098068.29</v>
          </cell>
          <cell r="N161">
            <v>603313631.64999998</v>
          </cell>
          <cell r="O161">
            <v>427686055.87</v>
          </cell>
          <cell r="P161">
            <v>308325798.25999999</v>
          </cell>
          <cell r="Q161">
            <v>230497704.34</v>
          </cell>
          <cell r="R161">
            <v>206877600.00999999</v>
          </cell>
          <cell r="S161">
            <v>58614464.350000001</v>
          </cell>
        </row>
        <row r="162">
          <cell r="C162" t="str">
            <v>2.0.DAG</v>
          </cell>
          <cell r="D162" t="str">
            <v>Decentralised agencies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3000000.56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 t="str">
            <v>2.0.PPPA</v>
          </cell>
          <cell r="D163" t="str">
            <v>Pilot projects and preparatory actions</v>
          </cell>
          <cell r="E163">
            <v>0</v>
          </cell>
          <cell r="F163">
            <v>0</v>
          </cell>
          <cell r="G163">
            <v>-2298620.5499999998</v>
          </cell>
          <cell r="H163">
            <v>-370818.04</v>
          </cell>
          <cell r="I163">
            <v>-925</v>
          </cell>
          <cell r="J163">
            <v>-269008.09999999998</v>
          </cell>
          <cell r="K163">
            <v>0</v>
          </cell>
          <cell r="L163">
            <v>0</v>
          </cell>
          <cell r="M163">
            <v>45163287.789999999</v>
          </cell>
          <cell r="N163">
            <v>19922928.140000001</v>
          </cell>
          <cell r="O163">
            <v>9584371.7899999991</v>
          </cell>
          <cell r="P163">
            <v>2139684.11</v>
          </cell>
          <cell r="Q163">
            <v>1059169.3</v>
          </cell>
          <cell r="R163">
            <v>250912.5</v>
          </cell>
          <cell r="S163">
            <v>0</v>
          </cell>
        </row>
        <row r="164">
          <cell r="C164" t="str">
            <v>3.0.1</v>
          </cell>
          <cell r="D164" t="str">
            <v>Asylum, Migration and Integration Fund (AMF)</v>
          </cell>
          <cell r="E164">
            <v>0</v>
          </cell>
          <cell r="F164">
            <v>0</v>
          </cell>
          <cell r="G164">
            <v>-48769489.369999997</v>
          </cell>
          <cell r="H164">
            <v>-77127071.659999996</v>
          </cell>
          <cell r="I164">
            <v>-32560332.920000002</v>
          </cell>
          <cell r="J164">
            <v>-58392367.079999998</v>
          </cell>
          <cell r="K164">
            <v>0</v>
          </cell>
          <cell r="L164">
            <v>0</v>
          </cell>
          <cell r="M164">
            <v>892672858.49000001</v>
          </cell>
          <cell r="N164">
            <v>642106466.62</v>
          </cell>
          <cell r="O164">
            <v>396045791.69</v>
          </cell>
          <cell r="P164">
            <v>233076333.15000001</v>
          </cell>
          <cell r="Q164">
            <v>103654375.37</v>
          </cell>
          <cell r="R164">
            <v>65386035.399999999</v>
          </cell>
          <cell r="S164">
            <v>3513109.12</v>
          </cell>
        </row>
        <row r="165">
          <cell r="C165" t="str">
            <v>3.0.10</v>
          </cell>
          <cell r="D165" t="str">
            <v>Consumer</v>
          </cell>
          <cell r="E165">
            <v>0</v>
          </cell>
          <cell r="F165">
            <v>0</v>
          </cell>
          <cell r="G165">
            <v>-315475.42</v>
          </cell>
          <cell r="H165">
            <v>-52290.69</v>
          </cell>
          <cell r="I165">
            <v>-133223.67999999999</v>
          </cell>
          <cell r="J165">
            <v>-2310.6999999999998</v>
          </cell>
          <cell r="K165">
            <v>0</v>
          </cell>
          <cell r="L165">
            <v>0</v>
          </cell>
          <cell r="M165">
            <v>26599752.399999999</v>
          </cell>
          <cell r="N165">
            <v>5385719.6699999999</v>
          </cell>
          <cell r="O165">
            <v>1424486.33</v>
          </cell>
          <cell r="P165">
            <v>610875.62</v>
          </cell>
          <cell r="Q165">
            <v>523933.05</v>
          </cell>
          <cell r="R165">
            <v>281759.84999999998</v>
          </cell>
          <cell r="S165">
            <v>281759.84999999998</v>
          </cell>
        </row>
        <row r="166">
          <cell r="C166" t="str">
            <v>3.0.11</v>
          </cell>
          <cell r="D166" t="str">
            <v>Creative Europe</v>
          </cell>
          <cell r="E166">
            <v>555581.56999999995</v>
          </cell>
          <cell r="F166">
            <v>604829.53</v>
          </cell>
          <cell r="G166">
            <v>-4925774.54</v>
          </cell>
          <cell r="H166">
            <v>-1068412.45</v>
          </cell>
          <cell r="I166">
            <v>-1595961.56</v>
          </cell>
          <cell r="J166">
            <v>-168094.38</v>
          </cell>
          <cell r="K166">
            <v>0</v>
          </cell>
          <cell r="L166">
            <v>0</v>
          </cell>
          <cell r="M166">
            <v>162247185.24000001</v>
          </cell>
          <cell r="N166">
            <v>76663307.760000005</v>
          </cell>
          <cell r="O166">
            <v>29702004.390000001</v>
          </cell>
          <cell r="P166">
            <v>10129992.51</v>
          </cell>
          <cell r="Q166">
            <v>5902621.6200000001</v>
          </cell>
          <cell r="R166">
            <v>1281037.6200000001</v>
          </cell>
          <cell r="S166">
            <v>548123.67000000004</v>
          </cell>
        </row>
        <row r="167">
          <cell r="C167" t="str">
            <v>3.0.2</v>
          </cell>
          <cell r="D167" t="str">
            <v>Internal Security Fund</v>
          </cell>
          <cell r="E167">
            <v>0</v>
          </cell>
          <cell r="F167">
            <v>0</v>
          </cell>
          <cell r="G167">
            <v>-51336527.390000001</v>
          </cell>
          <cell r="H167">
            <v>-67453301.150000006</v>
          </cell>
          <cell r="I167">
            <v>-18110857.25</v>
          </cell>
          <cell r="J167">
            <v>-53142338.149999999</v>
          </cell>
          <cell r="K167">
            <v>0</v>
          </cell>
          <cell r="L167">
            <v>0</v>
          </cell>
          <cell r="M167">
            <v>928091303.97000003</v>
          </cell>
          <cell r="N167">
            <v>648990960.20000005</v>
          </cell>
          <cell r="O167">
            <v>456560845.92000002</v>
          </cell>
          <cell r="P167">
            <v>229587589.99000001</v>
          </cell>
          <cell r="Q167">
            <v>89211071.019999996</v>
          </cell>
          <cell r="R167">
            <v>73727306.239999995</v>
          </cell>
          <cell r="S167">
            <v>20797818.649999999</v>
          </cell>
        </row>
        <row r="168">
          <cell r="C168" t="str">
            <v>3.0.3</v>
          </cell>
          <cell r="D168" t="str">
            <v>IT systems</v>
          </cell>
          <cell r="E168">
            <v>0</v>
          </cell>
          <cell r="F168">
            <v>0</v>
          </cell>
          <cell r="G168">
            <v>-4267427.95</v>
          </cell>
          <cell r="H168">
            <v>0</v>
          </cell>
          <cell r="I168">
            <v>0</v>
          </cell>
          <cell r="J168">
            <v>-1802503.01</v>
          </cell>
          <cell r="K168">
            <v>0</v>
          </cell>
          <cell r="L168">
            <v>0</v>
          </cell>
          <cell r="M168">
            <v>75615528.510000005</v>
          </cell>
          <cell r="N168">
            <v>20940792.629999999</v>
          </cell>
          <cell r="O168">
            <v>8343089.3700000001</v>
          </cell>
          <cell r="P168">
            <v>1801663.01</v>
          </cell>
          <cell r="Q168">
            <v>1801663.01</v>
          </cell>
          <cell r="R168">
            <v>1802503.01</v>
          </cell>
          <cell r="S168">
            <v>0</v>
          </cell>
        </row>
        <row r="169">
          <cell r="C169" t="str">
            <v>3.0.4</v>
          </cell>
          <cell r="D169" t="str">
            <v>Justice</v>
          </cell>
          <cell r="E169">
            <v>0</v>
          </cell>
          <cell r="F169">
            <v>0</v>
          </cell>
          <cell r="G169">
            <v>-1172668.5900000001</v>
          </cell>
          <cell r="H169">
            <v>-208336.99</v>
          </cell>
          <cell r="I169">
            <v>-366141.32</v>
          </cell>
          <cell r="J169">
            <v>-204149.49</v>
          </cell>
          <cell r="K169">
            <v>0</v>
          </cell>
          <cell r="L169">
            <v>0</v>
          </cell>
          <cell r="M169">
            <v>76094560.409999996</v>
          </cell>
          <cell r="N169">
            <v>21140950.170000002</v>
          </cell>
          <cell r="O169">
            <v>7851564.1399999997</v>
          </cell>
          <cell r="P169">
            <v>5944943.4900000002</v>
          </cell>
          <cell r="Q169">
            <v>6507501.1600000001</v>
          </cell>
          <cell r="R169">
            <v>6315415.2999999998</v>
          </cell>
          <cell r="S169">
            <v>6171221.7699999996</v>
          </cell>
        </row>
        <row r="170">
          <cell r="C170" t="str">
            <v>3.0.5</v>
          </cell>
          <cell r="D170" t="str">
            <v>Rights, Equality and Citizenship</v>
          </cell>
          <cell r="E170">
            <v>274003.84000000003</v>
          </cell>
          <cell r="F170">
            <v>149627.01999999999</v>
          </cell>
          <cell r="G170">
            <v>-581264.13</v>
          </cell>
          <cell r="H170">
            <v>-142858.79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97782323.769999996</v>
          </cell>
          <cell r="N170">
            <v>31323569.199999999</v>
          </cell>
          <cell r="O170">
            <v>10516235.789999999</v>
          </cell>
          <cell r="P170">
            <v>7360455.8899999997</v>
          </cell>
          <cell r="Q170">
            <v>8069603.7400000002</v>
          </cell>
          <cell r="R170">
            <v>9223665.4399999995</v>
          </cell>
          <cell r="S170">
            <v>9223665.4399999995</v>
          </cell>
        </row>
        <row r="171">
          <cell r="C171" t="str">
            <v>3.0.6</v>
          </cell>
          <cell r="D171" t="str">
            <v>Union Civil protection Mechanism</v>
          </cell>
          <cell r="E171">
            <v>0</v>
          </cell>
          <cell r="F171">
            <v>0</v>
          </cell>
          <cell r="G171">
            <v>-1959325.2</v>
          </cell>
          <cell r="H171">
            <v>-10042969.189999999</v>
          </cell>
          <cell r="I171">
            <v>-6284.47</v>
          </cell>
          <cell r="J171">
            <v>-102638.69</v>
          </cell>
          <cell r="K171">
            <v>0</v>
          </cell>
          <cell r="L171">
            <v>0</v>
          </cell>
          <cell r="M171">
            <v>42969586.350000001</v>
          </cell>
          <cell r="N171">
            <v>24129062.82</v>
          </cell>
          <cell r="O171">
            <v>15679201.15</v>
          </cell>
          <cell r="P171">
            <v>10506233.9</v>
          </cell>
          <cell r="Q171">
            <v>108923.16</v>
          </cell>
          <cell r="R171">
            <v>102638.69</v>
          </cell>
          <cell r="S171">
            <v>0</v>
          </cell>
        </row>
        <row r="172">
          <cell r="C172" t="str">
            <v>3.0.7</v>
          </cell>
          <cell r="D172" t="str">
            <v>Europe for Citizens</v>
          </cell>
          <cell r="E172">
            <v>8637.9</v>
          </cell>
          <cell r="F172">
            <v>15650.99</v>
          </cell>
          <cell r="G172">
            <v>-517960.78</v>
          </cell>
          <cell r="H172">
            <v>-443764.49</v>
          </cell>
          <cell r="I172">
            <v>-64790.74</v>
          </cell>
          <cell r="J172">
            <v>-52443.19</v>
          </cell>
          <cell r="K172">
            <v>0</v>
          </cell>
          <cell r="L172">
            <v>0</v>
          </cell>
          <cell r="M172">
            <v>22578909.420000002</v>
          </cell>
          <cell r="N172">
            <v>9624681.9299999997</v>
          </cell>
          <cell r="O172">
            <v>3272573.11</v>
          </cell>
          <cell r="P172">
            <v>1215745.3700000001</v>
          </cell>
          <cell r="Q172">
            <v>558819.35</v>
          </cell>
          <cell r="R172">
            <v>494028.61</v>
          </cell>
          <cell r="S172">
            <v>441585.42</v>
          </cell>
        </row>
        <row r="173">
          <cell r="C173" t="str">
            <v>3.0.8</v>
          </cell>
          <cell r="D173" t="str">
            <v>Food and feed</v>
          </cell>
          <cell r="E173">
            <v>0</v>
          </cell>
          <cell r="F173">
            <v>0</v>
          </cell>
          <cell r="G173">
            <v>-16519576.43</v>
          </cell>
          <cell r="H173">
            <v>-2779309.39</v>
          </cell>
          <cell r="I173">
            <v>-15078564.800000001</v>
          </cell>
          <cell r="J173">
            <v>0</v>
          </cell>
          <cell r="K173">
            <v>0</v>
          </cell>
          <cell r="L173">
            <v>0</v>
          </cell>
          <cell r="M173">
            <v>449705756.23000002</v>
          </cell>
          <cell r="N173">
            <v>125472023.38</v>
          </cell>
          <cell r="O173">
            <v>45035128.350000001</v>
          </cell>
          <cell r="P173">
            <v>21926983.550000001</v>
          </cell>
          <cell r="Q173">
            <v>18793448.760000002</v>
          </cell>
          <cell r="R173">
            <v>3040019.07</v>
          </cell>
          <cell r="S173">
            <v>2943444.6</v>
          </cell>
        </row>
        <row r="174">
          <cell r="C174" t="str">
            <v>3.0.9</v>
          </cell>
          <cell r="D174" t="str">
            <v>Health</v>
          </cell>
          <cell r="E174">
            <v>0</v>
          </cell>
          <cell r="F174">
            <v>0</v>
          </cell>
          <cell r="G174">
            <v>-2199688.9700000002</v>
          </cell>
          <cell r="H174">
            <v>-26095.97</v>
          </cell>
          <cell r="I174">
            <v>-2475328.73</v>
          </cell>
          <cell r="J174">
            <v>0</v>
          </cell>
          <cell r="K174">
            <v>0</v>
          </cell>
          <cell r="L174">
            <v>0</v>
          </cell>
          <cell r="M174">
            <v>109751088.3</v>
          </cell>
          <cell r="N174">
            <v>57988934.380000003</v>
          </cell>
          <cell r="O174">
            <v>35877288.479999997</v>
          </cell>
          <cell r="P174">
            <v>22308550.050000001</v>
          </cell>
          <cell r="Q174">
            <v>12822992.970000001</v>
          </cell>
          <cell r="R174">
            <v>6822461.0199999996</v>
          </cell>
          <cell r="S174">
            <v>6063541.29</v>
          </cell>
        </row>
        <row r="175">
          <cell r="C175" t="str">
            <v>3.0.DAG</v>
          </cell>
          <cell r="D175" t="str">
            <v>Decentralised agencies</v>
          </cell>
          <cell r="E175">
            <v>0</v>
          </cell>
          <cell r="F175">
            <v>0</v>
          </cell>
          <cell r="G175">
            <v>-29544395.719999999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93616595.569999993</v>
          </cell>
          <cell r="N175">
            <v>69481561.810000002</v>
          </cell>
          <cell r="O175">
            <v>54792519.200000003</v>
          </cell>
          <cell r="P175">
            <v>13685000</v>
          </cell>
          <cell r="Q175">
            <v>0</v>
          </cell>
          <cell r="R175">
            <v>0</v>
          </cell>
          <cell r="S175">
            <v>0</v>
          </cell>
        </row>
        <row r="176">
          <cell r="C176" t="str">
            <v>3.0.PPPA</v>
          </cell>
          <cell r="D176" t="str">
            <v>Pilot projects and preparatory actions</v>
          </cell>
          <cell r="E176">
            <v>0</v>
          </cell>
          <cell r="F176">
            <v>0</v>
          </cell>
          <cell r="G176">
            <v>-231850.52</v>
          </cell>
          <cell r="H176">
            <v>-606526.74</v>
          </cell>
          <cell r="I176">
            <v>-96014.6</v>
          </cell>
          <cell r="J176">
            <v>-1839188.15</v>
          </cell>
          <cell r="K176">
            <v>0</v>
          </cell>
          <cell r="L176">
            <v>0</v>
          </cell>
          <cell r="M176">
            <v>24295928.359999999</v>
          </cell>
          <cell r="N176">
            <v>8411229.6199999992</v>
          </cell>
          <cell r="O176">
            <v>3703933.03</v>
          </cell>
          <cell r="P176">
            <v>2088065.72</v>
          </cell>
          <cell r="Q176">
            <v>1802067.8</v>
          </cell>
          <cell r="R176">
            <v>2047009.04</v>
          </cell>
          <cell r="S176">
            <v>207820.89</v>
          </cell>
        </row>
        <row r="177">
          <cell r="C177" t="str">
            <v>3.0.SPEC</v>
          </cell>
          <cell r="D177" t="str">
            <v>Actions financed under the prerogatives of the Commission and specific competences conferred to the Commission</v>
          </cell>
          <cell r="E177">
            <v>0</v>
          </cell>
          <cell r="F177">
            <v>0</v>
          </cell>
          <cell r="G177">
            <v>-199913.8</v>
          </cell>
          <cell r="H177">
            <v>-59214</v>
          </cell>
          <cell r="I177">
            <v>0</v>
          </cell>
          <cell r="J177">
            <v>-43731.839999999997</v>
          </cell>
          <cell r="K177">
            <v>0</v>
          </cell>
          <cell r="L177">
            <v>0</v>
          </cell>
          <cell r="M177">
            <v>80294508.340000004</v>
          </cell>
          <cell r="N177">
            <v>13484563.33</v>
          </cell>
          <cell r="O177">
            <v>432617.65</v>
          </cell>
          <cell r="P177">
            <v>166658.35999999999</v>
          </cell>
          <cell r="Q177">
            <v>81023.789999999994</v>
          </cell>
          <cell r="R177">
            <v>81023.789999999994</v>
          </cell>
          <cell r="S177">
            <v>37291.949999999997</v>
          </cell>
        </row>
        <row r="178">
          <cell r="C178" t="str">
            <v>4.0.1</v>
          </cell>
          <cell r="D178" t="str">
            <v>Instrument for Pre-accession assistance (IPA II)</v>
          </cell>
          <cell r="E178">
            <v>0</v>
          </cell>
          <cell r="F178">
            <v>0</v>
          </cell>
          <cell r="G178">
            <v>-120535945.64</v>
          </cell>
          <cell r="H178">
            <v>-54084958.560000002</v>
          </cell>
          <cell r="I178">
            <v>-117634087.73999999</v>
          </cell>
          <cell r="J178">
            <v>-314741463.18000001</v>
          </cell>
          <cell r="K178">
            <v>-400000</v>
          </cell>
          <cell r="L178">
            <v>0</v>
          </cell>
          <cell r="M178">
            <v>6078400081.4399996</v>
          </cell>
          <cell r="N178">
            <v>4119822752.9499998</v>
          </cell>
          <cell r="O178">
            <v>2501708709.4000001</v>
          </cell>
          <cell r="P178">
            <v>1314586135.47</v>
          </cell>
          <cell r="Q178">
            <v>911024686</v>
          </cell>
          <cell r="R178">
            <v>745208568.72000003</v>
          </cell>
          <cell r="S178">
            <v>406087749.63999999</v>
          </cell>
        </row>
        <row r="179">
          <cell r="C179" t="str">
            <v>4.0.10</v>
          </cell>
          <cell r="D179" t="str">
            <v>Macro-financial Assistance (MFA)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10168162.699999999</v>
          </cell>
          <cell r="N179">
            <v>10000000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C180" t="str">
            <v>4.0.2</v>
          </cell>
          <cell r="D180" t="str">
            <v>European Neighbourhood Instrument (ENI)</v>
          </cell>
          <cell r="E180">
            <v>0</v>
          </cell>
          <cell r="F180">
            <v>0</v>
          </cell>
          <cell r="G180">
            <v>-239720673.69</v>
          </cell>
          <cell r="H180">
            <v>-129631615.93000001</v>
          </cell>
          <cell r="I180">
            <v>-124670915.23</v>
          </cell>
          <cell r="J180">
            <v>-337379348.32999998</v>
          </cell>
          <cell r="K180">
            <v>-899455.33</v>
          </cell>
          <cell r="L180">
            <v>0</v>
          </cell>
          <cell r="M180">
            <v>6177740823.6499996</v>
          </cell>
          <cell r="N180">
            <v>3662934415</v>
          </cell>
          <cell r="O180">
            <v>2239270670.25</v>
          </cell>
          <cell r="P180">
            <v>1277112741.6099999</v>
          </cell>
          <cell r="Q180">
            <v>835609398.44000006</v>
          </cell>
          <cell r="R180">
            <v>690377745.20000005</v>
          </cell>
          <cell r="S180">
            <v>448425375.69</v>
          </cell>
        </row>
        <row r="181">
          <cell r="C181" t="str">
            <v>4.0.3</v>
          </cell>
          <cell r="D181" t="str">
            <v>Development Cooperation Instrument (DCI)</v>
          </cell>
          <cell r="E181">
            <v>0</v>
          </cell>
          <cell r="F181">
            <v>5000000</v>
          </cell>
          <cell r="G181">
            <v>-230218119.41</v>
          </cell>
          <cell r="H181">
            <v>-152645750.66</v>
          </cell>
          <cell r="I181">
            <v>-173339554.09</v>
          </cell>
          <cell r="J181">
            <v>-141783201.27000001</v>
          </cell>
          <cell r="K181">
            <v>-1485924.94</v>
          </cell>
          <cell r="L181">
            <v>0</v>
          </cell>
          <cell r="M181">
            <v>8279546270.8900003</v>
          </cell>
          <cell r="N181">
            <v>4544668392.0200005</v>
          </cell>
          <cell r="O181">
            <v>2604837623.52</v>
          </cell>
          <cell r="P181">
            <v>1317831496.76</v>
          </cell>
          <cell r="Q181">
            <v>810521684.17999995</v>
          </cell>
          <cell r="R181">
            <v>465550241.13</v>
          </cell>
          <cell r="S181">
            <v>304394988.45999998</v>
          </cell>
        </row>
        <row r="182">
          <cell r="C182" t="str">
            <v>4.0.4</v>
          </cell>
          <cell r="D182" t="str">
            <v>Partnership Instrument (PI)</v>
          </cell>
          <cell r="E182">
            <v>0</v>
          </cell>
          <cell r="F182">
            <v>0</v>
          </cell>
          <cell r="G182">
            <v>-2292869.2400000002</v>
          </cell>
          <cell r="H182">
            <v>-6001595.6200000001</v>
          </cell>
          <cell r="I182">
            <v>-5405806.5700000003</v>
          </cell>
          <cell r="J182">
            <v>-3215197.21</v>
          </cell>
          <cell r="K182">
            <v>-199010</v>
          </cell>
          <cell r="L182">
            <v>0</v>
          </cell>
          <cell r="M182">
            <v>177405832.69</v>
          </cell>
          <cell r="N182">
            <v>87142808.769999996</v>
          </cell>
          <cell r="O182">
            <v>54228705.270000003</v>
          </cell>
          <cell r="P182">
            <v>29171548.780000001</v>
          </cell>
          <cell r="Q182">
            <v>18196763.719999999</v>
          </cell>
          <cell r="R182">
            <v>10588551.039999999</v>
          </cell>
          <cell r="S182">
            <v>7469378.7999999998</v>
          </cell>
        </row>
        <row r="183">
          <cell r="C183" t="str">
            <v>4.0.5</v>
          </cell>
          <cell r="D183" t="str">
            <v>European Instrument for Democracy and Human Rights (EIDHR)</v>
          </cell>
          <cell r="E183">
            <v>0</v>
          </cell>
          <cell r="F183">
            <v>0</v>
          </cell>
          <cell r="G183">
            <v>-3135064.44</v>
          </cell>
          <cell r="H183">
            <v>-1473023.97</v>
          </cell>
          <cell r="I183">
            <v>-7424336.04</v>
          </cell>
          <cell r="J183">
            <v>-6259581.4199999999</v>
          </cell>
          <cell r="K183">
            <v>0</v>
          </cell>
          <cell r="L183">
            <v>0</v>
          </cell>
          <cell r="M183">
            <v>349530537.82999998</v>
          </cell>
          <cell r="N183">
            <v>95129570.159999996</v>
          </cell>
          <cell r="O183">
            <v>43447864.5</v>
          </cell>
          <cell r="P183">
            <v>23852342.789999999</v>
          </cell>
          <cell r="Q183">
            <v>18671137.890000001</v>
          </cell>
          <cell r="R183">
            <v>11998282.380000001</v>
          </cell>
          <cell r="S183">
            <v>6833241.3499999996</v>
          </cell>
        </row>
        <row r="184">
          <cell r="C184" t="str">
            <v>4.0.6</v>
          </cell>
          <cell r="D184" t="str">
            <v>Instrument contributing to Stability and Peace (IcSP)</v>
          </cell>
          <cell r="E184">
            <v>0</v>
          </cell>
          <cell r="F184">
            <v>0</v>
          </cell>
          <cell r="G184">
            <v>-16487400.800000001</v>
          </cell>
          <cell r="H184">
            <v>-11162657.01</v>
          </cell>
          <cell r="I184">
            <v>-31172981.129999999</v>
          </cell>
          <cell r="J184">
            <v>-5216982.99</v>
          </cell>
          <cell r="K184">
            <v>0</v>
          </cell>
          <cell r="L184">
            <v>0</v>
          </cell>
          <cell r="M184">
            <v>578549734.83000004</v>
          </cell>
          <cell r="N184">
            <v>227397987.94999999</v>
          </cell>
          <cell r="O184">
            <v>144630486.34</v>
          </cell>
          <cell r="P184">
            <v>80926899.670000002</v>
          </cell>
          <cell r="Q184">
            <v>61276233.729999997</v>
          </cell>
          <cell r="R184">
            <v>25131742.039999999</v>
          </cell>
          <cell r="S184">
            <v>18323115.359999999</v>
          </cell>
        </row>
        <row r="185">
          <cell r="C185" t="str">
            <v>4.0.7</v>
          </cell>
          <cell r="D185" t="str">
            <v>Humanitarian aid</v>
          </cell>
          <cell r="E185">
            <v>0</v>
          </cell>
          <cell r="F185">
            <v>0</v>
          </cell>
          <cell r="G185">
            <v>0</v>
          </cell>
          <cell r="H185">
            <v>-38076629.380000003</v>
          </cell>
          <cell r="I185">
            <v>-31179777.760000002</v>
          </cell>
          <cell r="J185">
            <v>-35048829.640000001</v>
          </cell>
          <cell r="K185">
            <v>0</v>
          </cell>
          <cell r="L185">
            <v>0</v>
          </cell>
          <cell r="M185">
            <v>867737719.91999996</v>
          </cell>
          <cell r="N185">
            <v>208319162.59</v>
          </cell>
          <cell r="O185">
            <v>107346211.23</v>
          </cell>
          <cell r="P185">
            <v>103350480.81</v>
          </cell>
          <cell r="Q185">
            <v>65229991.259999998</v>
          </cell>
          <cell r="R185">
            <v>34635535.359999999</v>
          </cell>
          <cell r="S185">
            <v>0</v>
          </cell>
        </row>
        <row r="186">
          <cell r="C186" t="str">
            <v>4.0.8</v>
          </cell>
          <cell r="D186" t="str">
            <v>Common Foreign and Security Policy (CFSP)</v>
          </cell>
          <cell r="E186">
            <v>0</v>
          </cell>
          <cell r="F186">
            <v>0</v>
          </cell>
          <cell r="G186">
            <v>-21834776.539999999</v>
          </cell>
          <cell r="H186">
            <v>-4775219.08</v>
          </cell>
          <cell r="I186">
            <v>-13083044.08</v>
          </cell>
          <cell r="J186">
            <v>-19017996.100000001</v>
          </cell>
          <cell r="K186">
            <v>0</v>
          </cell>
          <cell r="L186">
            <v>0</v>
          </cell>
          <cell r="M186">
            <v>261604989.61000001</v>
          </cell>
          <cell r="N186">
            <v>102707138.42</v>
          </cell>
          <cell r="O186">
            <v>67128930.599999994</v>
          </cell>
          <cell r="P186">
            <v>42007890.979999997</v>
          </cell>
          <cell r="Q186">
            <v>35803936.090000004</v>
          </cell>
          <cell r="R186">
            <v>19789634.079999998</v>
          </cell>
          <cell r="S186">
            <v>753637.98</v>
          </cell>
        </row>
        <row r="187">
          <cell r="C187" t="str">
            <v>4.0.9</v>
          </cell>
          <cell r="D187" t="str">
            <v>Instrument for Nuclear Safety Cooperation (INSC)</v>
          </cell>
          <cell r="E187">
            <v>0</v>
          </cell>
          <cell r="F187">
            <v>0</v>
          </cell>
          <cell r="G187">
            <v>-779880.55</v>
          </cell>
          <cell r="H187">
            <v>-5144901.7</v>
          </cell>
          <cell r="I187">
            <v>-7611183.6900000004</v>
          </cell>
          <cell r="J187">
            <v>-3437293.86</v>
          </cell>
          <cell r="K187">
            <v>0</v>
          </cell>
          <cell r="L187">
            <v>0</v>
          </cell>
          <cell r="M187">
            <v>216096866.59999999</v>
          </cell>
          <cell r="N187">
            <v>118346282.22</v>
          </cell>
          <cell r="O187">
            <v>58624493.399999999</v>
          </cell>
          <cell r="P187">
            <v>28182572.82</v>
          </cell>
          <cell r="Q187">
            <v>15408371.9</v>
          </cell>
          <cell r="R187">
            <v>9090329.0500000007</v>
          </cell>
          <cell r="S187">
            <v>5297631.5</v>
          </cell>
        </row>
        <row r="188">
          <cell r="C188" t="str">
            <v>4.0.DAG</v>
          </cell>
          <cell r="D188" t="str">
            <v>Decentralised agencies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2230173.0499999998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C189" t="str">
            <v>4.0.OTH</v>
          </cell>
          <cell r="D189" t="str">
            <v>Other actions and programmes</v>
          </cell>
          <cell r="E189">
            <v>4209094.4000000004</v>
          </cell>
          <cell r="F189">
            <v>4757.17</v>
          </cell>
          <cell r="G189">
            <v>0</v>
          </cell>
          <cell r="H189">
            <v>-910391</v>
          </cell>
          <cell r="I189">
            <v>-12459564.460000001</v>
          </cell>
          <cell r="J189">
            <v>-4573756.9000000004</v>
          </cell>
          <cell r="K189">
            <v>0</v>
          </cell>
          <cell r="L189">
            <v>0</v>
          </cell>
          <cell r="M189">
            <v>129462204.62</v>
          </cell>
          <cell r="N189">
            <v>50192407.159999996</v>
          </cell>
          <cell r="O189">
            <v>31017801.690000001</v>
          </cell>
          <cell r="P189">
            <v>18764501.77</v>
          </cell>
          <cell r="Q189">
            <v>16758746.300000001</v>
          </cell>
          <cell r="R189">
            <v>4856196.58</v>
          </cell>
          <cell r="S189">
            <v>3519997.04</v>
          </cell>
        </row>
        <row r="190">
          <cell r="C190" t="str">
            <v>4.0.PPPA</v>
          </cell>
          <cell r="D190" t="str">
            <v>Pilot projects and preparatory actions</v>
          </cell>
          <cell r="E190">
            <v>0</v>
          </cell>
          <cell r="F190">
            <v>0</v>
          </cell>
          <cell r="G190">
            <v>-375030.93</v>
          </cell>
          <cell r="H190">
            <v>-1509872.02</v>
          </cell>
          <cell r="I190">
            <v>-973506.88</v>
          </cell>
          <cell r="J190">
            <v>-2831820.31</v>
          </cell>
          <cell r="K190">
            <v>0</v>
          </cell>
          <cell r="L190">
            <v>0</v>
          </cell>
          <cell r="M190">
            <v>42464480.25</v>
          </cell>
          <cell r="N190">
            <v>26825149.84</v>
          </cell>
          <cell r="O190">
            <v>14484448.029999999</v>
          </cell>
          <cell r="P190">
            <v>8788040.3100000005</v>
          </cell>
          <cell r="Q190">
            <v>5964858.4400000004</v>
          </cell>
          <cell r="R190">
            <v>3827950.94</v>
          </cell>
          <cell r="S190">
            <v>765560.62</v>
          </cell>
        </row>
        <row r="191">
          <cell r="C191" t="str">
            <v>4.0.SPEC</v>
          </cell>
          <cell r="D191" t="str">
            <v>Actions financed under the prerogatives of the Commission and specific competences conferred to the Commission</v>
          </cell>
          <cell r="E191">
            <v>0</v>
          </cell>
          <cell r="F191">
            <v>0</v>
          </cell>
          <cell r="G191">
            <v>-105111.43</v>
          </cell>
          <cell r="H191">
            <v>-8258312.96</v>
          </cell>
          <cell r="I191">
            <v>-636633.22</v>
          </cell>
          <cell r="J191">
            <v>-2286843.06</v>
          </cell>
          <cell r="K191">
            <v>0</v>
          </cell>
          <cell r="L191">
            <v>0</v>
          </cell>
          <cell r="M191">
            <v>100884696.3</v>
          </cell>
          <cell r="N191">
            <v>35657541.509999998</v>
          </cell>
          <cell r="O191">
            <v>14899961.76</v>
          </cell>
          <cell r="P191">
            <v>12345907.66</v>
          </cell>
          <cell r="Q191">
            <v>3981460.71</v>
          </cell>
          <cell r="R191">
            <v>3341953.89</v>
          </cell>
          <cell r="S191">
            <v>1055110.83</v>
          </cell>
        </row>
        <row r="192">
          <cell r="C192">
            <v>0</v>
          </cell>
          <cell r="D192" t="str">
            <v>Sum:</v>
          </cell>
          <cell r="E192">
            <v>82108916.519999996</v>
          </cell>
          <cell r="F192">
            <v>24999778.469999999</v>
          </cell>
          <cell r="G192">
            <v>-3350135864.7600002</v>
          </cell>
          <cell r="H192">
            <v>-4841153947.5799999</v>
          </cell>
          <cell r="I192">
            <v>-1895573509.3599999</v>
          </cell>
          <cell r="J192">
            <v>0</v>
          </cell>
          <cell r="K192">
            <v>0</v>
          </cell>
          <cell r="L192">
            <v>0</v>
          </cell>
          <cell r="M192">
            <v>195429098397.98999</v>
          </cell>
          <cell r="N192">
            <v>131779432878.92999</v>
          </cell>
          <cell r="O192">
            <v>67950916359.989998</v>
          </cell>
          <cell r="P192">
            <v>34922956225.010002</v>
          </cell>
          <cell r="Q192">
            <v>0</v>
          </cell>
          <cell r="R192">
            <v>0</v>
          </cell>
          <cell r="S192">
            <v>0</v>
          </cell>
        </row>
      </sheetData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TF+matching+cofin"/>
      <sheetName val="Ranges"/>
      <sheetName val="reconciliation"/>
      <sheetName val="For interface JTF Next Gen EU"/>
      <sheetName val="For interface JTF MFF"/>
      <sheetName val="summary_net_of _TA"/>
      <sheetName val="summary"/>
      <sheetName val="Simplified table"/>
      <sheetName val="parameters"/>
      <sheetName val="notes"/>
      <sheetName val="Sheet1"/>
      <sheetName val="NUTS2"/>
      <sheetName val="N2data"/>
      <sheetName val="Sheet2"/>
      <sheetName val="Energy statistics"/>
      <sheetName val="coal"/>
      <sheetName val="B_mining_quarrying"/>
      <sheetName val="nb_regions"/>
      <sheetName val="How much oil shale and peat"/>
      <sheetName val="GHG emission MS level"/>
      <sheetName val="table peat oil shale"/>
      <sheetName val="employment 2017 sbs"/>
      <sheetName val="nb of missing data"/>
      <sheetName val="Simplified_table2"/>
    </sheetNames>
    <sheetDataSet>
      <sheetData sheetId="0"/>
      <sheetData sheetId="1"/>
      <sheetData sheetId="2"/>
      <sheetData sheetId="3">
        <row r="32">
          <cell r="I32">
            <v>16.954810000000002</v>
          </cell>
        </row>
      </sheetData>
      <sheetData sheetId="4">
        <row r="2">
          <cell r="B2">
            <v>10.793114671885505</v>
          </cell>
        </row>
      </sheetData>
      <sheetData sheetId="5">
        <row r="5">
          <cell r="E5">
            <v>79.958237999999994</v>
          </cell>
        </row>
      </sheetData>
      <sheetData sheetId="6"/>
      <sheetData sheetId="7"/>
      <sheetData sheetId="8">
        <row r="3">
          <cell r="I3" t="str">
            <v>yes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data NUTS2"/>
      <sheetName val="data MS"/>
      <sheetName val="Decomposition allocation"/>
      <sheetName val="table distrib"/>
      <sheetName val="MD-&gt;N2LD+TRANS"/>
      <sheetName val="CF"/>
      <sheetName val="COOP"/>
      <sheetName val="decomposition Aid intensity"/>
      <sheetName val="Comparaison print simplified"/>
      <sheetName val="From MD to MS by indicator"/>
      <sheetName val="results_ms"/>
      <sheetName val="Comparaison for print"/>
      <sheetName val="without GNI order"/>
      <sheetName val="Comparaison"/>
      <sheetName val="results_ms_distribution"/>
      <sheetName val="N2 allocation"/>
      <sheetName val="From NUTS2 to MS "/>
      <sheetName val="BORDERS_categories"/>
      <sheetName val="reconstruction2011"/>
      <sheetName val="A_Initial_amount"/>
      <sheetName val="B_capping"/>
      <sheetName val="C_CF third"/>
      <sheetName val="D_Safety_net"/>
      <sheetName val="D2_redistrib_safety"/>
      <sheetName val="E_ad_hoc_adjustments"/>
      <sheetName val="F_with_ad_hoc_adjustments"/>
      <sheetName val="Sheet5cr"/>
      <sheetName val="transferts1"/>
      <sheetName val="transferts2"/>
      <sheetName val="Sheet5tr1"/>
      <sheetName val="TA_deduction"/>
      <sheetName val="Sheet6"/>
      <sheetName val="Sheet6cr"/>
      <sheetName val="Sheet7"/>
      <sheetName val="6b after CEF and transfer1 "/>
      <sheetName val="F_in_current_prices"/>
      <sheetName val="N2LD"/>
      <sheetName val="LD-&gt;TRANS+MD"/>
      <sheetName val="Safety net MD for TRANS"/>
      <sheetName val="N2TRANS"/>
      <sheetName val="N2MD"/>
      <sheetName val="comp with actual+midterm"/>
      <sheetName val="Info"/>
      <sheetName val="List versions"/>
      <sheetName val="Sheet1"/>
      <sheetName val="Pop"/>
      <sheetName val="GDP_PPS"/>
      <sheetName val="PPS_capita"/>
      <sheetName val="DE TRANS and IT 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zykový prevodník"/>
      <sheetName val="1. požiadavky partnerov"/>
      <sheetName val="2B. annual breakdown"/>
      <sheetName val="3. parametre"/>
      <sheetName val="3. limity"/>
      <sheetName val="3. Verzia_1_0"/>
      <sheetName val="10-10-10"/>
      <sheetName val="7-10-10"/>
      <sheetName val="4. parametre"/>
      <sheetName val="Pivot_table"/>
      <sheetName val="ERDF thematic concentration "/>
      <sheetName val="Verification_SK vs EC tables"/>
      <sheetName val="Verification_SK vs EC table_rev"/>
      <sheetName val="SK"/>
      <sheetName val="4. limity"/>
      <sheetName val="MS Ref. Table 2021-27"/>
      <sheetName val="Ref. Table SK 2021-27_funds"/>
      <sheetName val="PSK_Verzia_6_0_Tem_koncentracia"/>
      <sheetName val="IÚI-UMR"/>
      <sheetName val="IÚI-VÚC"/>
      <sheetName val="PSK_Verzia_7_0_SK"/>
      <sheetName val="Hárok1"/>
      <sheetName val="6_Verzia_7_0_PSK_rezorty"/>
      <sheetName val="PSK_Verzia_7_0_SK_MRK"/>
      <sheetName val="PSK_Fin_plan"/>
      <sheetName val="PSK_Fin_plan_zdroje"/>
      <sheetName val="PSK_Version_7_0_EN"/>
      <sheetName val="PSK_Version_7_0_EN_MRC"/>
      <sheetName val="6_Verzia_2_0_PD_tabulky"/>
      <sheetName val="4_Verzia_7_0_OP_tabulky"/>
      <sheetName val="4_Verzia_7_0_OP_tabulky (2)"/>
      <sheetName val="6_Verzia_rezorty_alokacie"/>
      <sheetName val="PSK_Verzia_7_0_SK_vzor"/>
      <sheetName val="Technicka_pomoc_vypocet"/>
      <sheetName val="Technicka_pomoc_rozdelenie"/>
      <sheetName val="Technicka_pomoc_rezorty"/>
      <sheetName val="FST"/>
      <sheetName val="KF"/>
      <sheetName val="ESF+"/>
      <sheetName val="Verzia_5_5-10-2_SK_MPK"/>
      <sheetName val="6_Verzia_2_0_oblasti_a_regiony"/>
      <sheetName val="6_Verzia_7_0_politika_sudrznost"/>
      <sheetName val="4. Verzia_2_0 5-10-2_SK_CP1"/>
      <sheetName val="4. Verzia_2_0 5-10-2_SK_CP2"/>
      <sheetName val="4. Verzia_2_0 5-10-2_SK_CP3"/>
      <sheetName val="4. Verzia_2_0 5-10-2_SK_CP4"/>
      <sheetName val="4. Verzia_2_0 5-10-2_SK_CP5"/>
      <sheetName val="4. Verzia_2_0 5-10-2_SK_BSK"/>
      <sheetName val="4. Verzia_2_0 5-10-2_SK_4"/>
      <sheetName val="MDV"/>
      <sheetName val="MŽP"/>
      <sheetName val="MPSVR"/>
      <sheetName val="MŠVVŠ"/>
      <sheetName val="MZ"/>
      <sheetName val="MIRRI"/>
      <sheetName val="MV"/>
      <sheetName val="MK"/>
      <sheetName val="UV"/>
      <sheetName val="MH a SIEA"/>
      <sheetName val="4_Verzia_2_0_OP_dimenzia_1"/>
      <sheetName val="4_Verzia_2_0_OP_dimenzia_2"/>
      <sheetName val="4_Verzia_2_0_OP_dimenzia_3"/>
      <sheetName val="4_Verzia_2_0_OP_dimenzia_6"/>
      <sheetName val="4_Verzia_2_0_OP_dimenzia_7"/>
      <sheetName val="5. parametre 5-5-5"/>
      <sheetName val="5. limity 5-5-5"/>
      <sheetName val="5. Verzia_2_0 5-5-5"/>
      <sheetName val="5_Verzia_2_0_oblasti_a_regiony "/>
      <sheetName val="5_Verzia_rozdiel_vs_4_Verzia"/>
      <sheetName val="Dopady_zmena transferov"/>
      <sheetName val="Dopady_zmena_transferov_2"/>
      <sheetName val="6. limity 7-7-7"/>
      <sheetName val="6. parametre 7-7-7"/>
      <sheetName val="6. Verzia_2_0 7-7-7"/>
      <sheetName val="BSK"/>
      <sheetName val="ESF"/>
      <sheetName val="Transfery"/>
      <sheetName val="4.A_Verzia_2_0 10-10-10"/>
      <sheetName val="4_A_Verzia_2_0_zmeny"/>
      <sheetName val="4_A_Verzia_2_0_SO"/>
      <sheetName val="4_B_Verzia_2_0 10-10-10"/>
      <sheetName val="4_B_Verzia_2_0_zmeny"/>
      <sheetName val="4_B_Verzia_2_0_SO"/>
      <sheetName val="4_A_B_porovnanie"/>
      <sheetName val="4_C_Verzia_2_0 10-10-10"/>
      <sheetName val="4_C_Verzia_2_0_zmeny"/>
      <sheetName val="4_C_Verzia_2_0_SO"/>
      <sheetName val="Struktura_OP"/>
      <sheetName val="TC rules"/>
      <sheetName val="210921_transfery"/>
      <sheetName val="Úpravy_audit_trail"/>
      <sheetName val="pomocne_1"/>
      <sheetName val="pomocne"/>
      <sheetName val="dodatočné spolufinancovanie"/>
      <sheetName val="SO"/>
      <sheetName val="MIRRI alokácia"/>
      <sheetName val="POROVNANIE_2_SCENAROV"/>
      <sheetName val="UMR_metodika"/>
      <sheetName val="príjmy podľa VÚC"/>
      <sheetName val="IÚS+UMR"/>
      <sheetName val="UMR_alokácia"/>
      <sheetName val="IÚS_alokácia"/>
      <sheetName val="Eurofondy_v_čase_porovnanie"/>
      <sheetName val="príjmy 21-27"/>
      <sheetName val="porovnanie scenárov"/>
      <sheetName val="T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O4">
            <v>175764724</v>
          </cell>
        </row>
      </sheetData>
      <sheetData sheetId="15"/>
      <sheetData sheetId="16"/>
      <sheetData sheetId="17">
        <row r="29">
          <cell r="AB29">
            <v>255696315</v>
          </cell>
          <cell r="AC29">
            <v>6556436198</v>
          </cell>
        </row>
        <row r="30">
          <cell r="AC30">
            <v>493476516</v>
          </cell>
          <cell r="AD30">
            <v>493476516</v>
          </cell>
        </row>
        <row r="31">
          <cell r="AC31">
            <v>7049912714</v>
          </cell>
        </row>
        <row r="32">
          <cell r="AC32">
            <v>2221754336</v>
          </cell>
        </row>
        <row r="33">
          <cell r="AC33">
            <v>50000000</v>
          </cell>
          <cell r="AD33">
            <v>50000000</v>
          </cell>
        </row>
        <row r="34">
          <cell r="AC34">
            <v>2271754336</v>
          </cell>
        </row>
        <row r="35">
          <cell r="AC35">
            <v>2421176340</v>
          </cell>
        </row>
        <row r="38">
          <cell r="AC38">
            <v>440658242</v>
          </cell>
        </row>
      </sheetData>
      <sheetData sheetId="18"/>
      <sheetData sheetId="19"/>
      <sheetData sheetId="20">
        <row r="16">
          <cell r="AA16">
            <v>1890150000</v>
          </cell>
        </row>
      </sheetData>
      <sheetData sheetId="21"/>
      <sheetData sheetId="22"/>
      <sheetData sheetId="23"/>
      <sheetData sheetId="24"/>
      <sheetData sheetId="25"/>
      <sheetData sheetId="26">
        <row r="2">
          <cell r="D2" t="str">
            <v>Program level code_SK</v>
          </cell>
        </row>
      </sheetData>
      <sheetData sheetId="27"/>
      <sheetData sheetId="28"/>
      <sheetData sheetId="29">
        <row r="139">
          <cell r="F1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">
          <cell r="S14">
            <v>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SK_Verzia_1_11"/>
      <sheetName val="PSK_Verzia_1_11_vs_1_10"/>
      <sheetName val="PSK_Verzia_1_11_TK"/>
      <sheetName val="PSK_Verzia_1_11_ciele_ZK_B"/>
    </sheetNames>
    <sheetDataSet>
      <sheetData sheetId="0">
        <row r="17">
          <cell r="F17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09CC-F1F0-4C31-9BAC-9F56DB7937AE}">
  <sheetPr>
    <tabColor rgb="FF00B0F0"/>
    <outlinePr summaryBelow="0" summaryRight="0"/>
    <pageSetUpPr fitToPage="1"/>
  </sheetPr>
  <dimension ref="A1:AS1162"/>
  <sheetViews>
    <sheetView tabSelected="1" view="pageBreakPreview" topLeftCell="A2" zoomScale="50" zoomScaleNormal="55" zoomScaleSheetLayoutView="50" workbookViewId="0">
      <pane xSplit="6" ySplit="4" topLeftCell="G6" activePane="bottomRight" state="frozen"/>
      <selection activeCell="H25" sqref="H25:H30"/>
      <selection pane="topRight" activeCell="H25" sqref="H25:H30"/>
      <selection pane="bottomLeft" activeCell="H25" sqref="H25:H30"/>
      <selection pane="bottomRight" activeCell="A3" sqref="A3:B3"/>
    </sheetView>
  </sheetViews>
  <sheetFormatPr defaultColWidth="10.1796875" defaultRowHeight="30" customHeight="1" x14ac:dyDescent="0.35"/>
  <cols>
    <col min="1" max="1" width="16.26953125" style="181" customWidth="1"/>
    <col min="2" max="2" width="98" style="1" customWidth="1"/>
    <col min="3" max="5" width="34.81640625" style="76" customWidth="1"/>
    <col min="6" max="6" width="35" style="182" customWidth="1"/>
    <col min="7" max="14" width="34.81640625" style="183" customWidth="1"/>
    <col min="15" max="17" width="35.1796875" style="183" customWidth="1"/>
    <col min="18" max="19" width="10.1796875" style="1"/>
    <col min="20" max="21" width="11.81640625" style="1" bestFit="1" customWidth="1"/>
    <col min="22" max="23" width="10.1796875" style="1"/>
    <col min="24" max="24" width="11" style="1" bestFit="1" customWidth="1"/>
    <col min="25" max="16384" width="10.1796875" style="1"/>
  </cols>
  <sheetData>
    <row r="1" spans="1:45" ht="30" hidden="1" customHeight="1" x14ac:dyDescent="0.35">
      <c r="A1" s="1"/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45" ht="78" customHeight="1" x14ac:dyDescent="0.35">
      <c r="A2" s="274" t="s">
        <v>849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45" s="5" customFormat="1" ht="155.15" customHeight="1" x14ac:dyDescent="0.35">
      <c r="A3" s="275" t="s">
        <v>806</v>
      </c>
      <c r="B3" s="275"/>
      <c r="C3" s="271" t="s">
        <v>1</v>
      </c>
      <c r="D3" s="271" t="s">
        <v>2</v>
      </c>
      <c r="E3" s="271" t="s">
        <v>3</v>
      </c>
      <c r="F3" s="271" t="s">
        <v>4</v>
      </c>
      <c r="G3" s="276" t="s">
        <v>5</v>
      </c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45" s="5" customFormat="1" ht="34.5" x14ac:dyDescent="0.35">
      <c r="A4" s="271" t="s">
        <v>6</v>
      </c>
      <c r="B4" s="271"/>
      <c r="C4" s="271"/>
      <c r="D4" s="271"/>
      <c r="E4" s="271"/>
      <c r="F4" s="271"/>
      <c r="G4" s="271" t="s">
        <v>7</v>
      </c>
      <c r="H4" s="271"/>
      <c r="I4" s="271"/>
      <c r="J4" s="271" t="s">
        <v>8</v>
      </c>
      <c r="K4" s="271"/>
      <c r="L4" s="271"/>
      <c r="M4" s="271" t="s">
        <v>9</v>
      </c>
      <c r="N4" s="271" t="s">
        <v>10</v>
      </c>
      <c r="O4" s="271"/>
      <c r="P4" s="271"/>
      <c r="Q4" s="272" t="s">
        <v>11</v>
      </c>
    </row>
    <row r="5" spans="1:45" ht="34.5" x14ac:dyDescent="0.35">
      <c r="A5" s="271"/>
      <c r="B5" s="271"/>
      <c r="C5" s="271"/>
      <c r="D5" s="271"/>
      <c r="E5" s="271"/>
      <c r="F5" s="271"/>
      <c r="G5" s="6" t="s">
        <v>12</v>
      </c>
      <c r="H5" s="6" t="s">
        <v>13</v>
      </c>
      <c r="I5" s="6" t="s">
        <v>14</v>
      </c>
      <c r="J5" s="7" t="s">
        <v>12</v>
      </c>
      <c r="K5" s="6" t="s">
        <v>13</v>
      </c>
      <c r="L5" s="6" t="s">
        <v>14</v>
      </c>
      <c r="M5" s="271"/>
      <c r="N5" s="6" t="s">
        <v>12</v>
      </c>
      <c r="O5" s="6" t="s">
        <v>13</v>
      </c>
      <c r="P5" s="6" t="s">
        <v>14</v>
      </c>
      <c r="Q5" s="272"/>
    </row>
    <row r="6" spans="1:45" s="12" customFormat="1" ht="30" customHeight="1" x14ac:dyDescent="0.35">
      <c r="A6" s="8" t="s">
        <v>15</v>
      </c>
      <c r="B6" s="8"/>
      <c r="C6" s="198"/>
      <c r="D6" s="10"/>
      <c r="E6" s="10"/>
      <c r="F6" s="11"/>
      <c r="G6" s="10">
        <f>G7+G8</f>
        <v>12593734933</v>
      </c>
      <c r="H6" s="10">
        <f t="shared" ref="H6:Q6" si="0">H7+H8</f>
        <v>9118430832</v>
      </c>
      <c r="I6" s="10">
        <f t="shared" si="0"/>
        <v>543476516</v>
      </c>
      <c r="J6" s="10">
        <f t="shared" si="0"/>
        <v>7269548029</v>
      </c>
      <c r="K6" s="10">
        <f t="shared" si="0"/>
        <v>6776071513</v>
      </c>
      <c r="L6" s="10">
        <f t="shared" si="0"/>
        <v>493476516</v>
      </c>
      <c r="M6" s="10">
        <f t="shared" si="0"/>
        <v>2472808584</v>
      </c>
      <c r="N6" s="10">
        <f t="shared" si="0"/>
        <v>2392359319</v>
      </c>
      <c r="O6" s="10">
        <f t="shared" si="0"/>
        <v>2342359319</v>
      </c>
      <c r="P6" s="10">
        <f t="shared" si="0"/>
        <v>50000000</v>
      </c>
      <c r="Q6" s="10">
        <f t="shared" si="0"/>
        <v>459019001</v>
      </c>
    </row>
    <row r="7" spans="1:45" s="5" customFormat="1" ht="30" customHeight="1" x14ac:dyDescent="0.35">
      <c r="A7" s="13" t="s">
        <v>16</v>
      </c>
      <c r="B7" s="13"/>
      <c r="C7" s="14"/>
      <c r="D7" s="15"/>
      <c r="E7" s="16"/>
      <c r="F7" s="17"/>
      <c r="G7" s="18">
        <f>H7+M7+Q7</f>
        <v>410233301</v>
      </c>
      <c r="H7" s="33">
        <f>K7+O7</f>
        <v>340240298</v>
      </c>
      <c r="I7" s="33">
        <f>L7+P7</f>
        <v>0</v>
      </c>
      <c r="J7" s="18">
        <f>K7+L7</f>
        <v>254434180</v>
      </c>
      <c r="K7" s="19">
        <f>K619</f>
        <v>254434180</v>
      </c>
      <c r="L7" s="33">
        <f>L619</f>
        <v>0</v>
      </c>
      <c r="M7" s="18">
        <f>M619</f>
        <v>51632244</v>
      </c>
      <c r="N7" s="18">
        <f>O7+P7</f>
        <v>85806118</v>
      </c>
      <c r="O7" s="19">
        <f>O619</f>
        <v>85806118</v>
      </c>
      <c r="P7" s="33">
        <f>P619</f>
        <v>0</v>
      </c>
      <c r="Q7" s="18">
        <f>Q619</f>
        <v>18360759</v>
      </c>
    </row>
    <row r="8" spans="1:45" s="12" customFormat="1" ht="30" customHeight="1" x14ac:dyDescent="0.35">
      <c r="A8" s="8" t="s">
        <v>17</v>
      </c>
      <c r="B8" s="8"/>
      <c r="C8" s="10">
        <f>C16+C104+C327+C369+C503+C572</f>
        <v>2411096481</v>
      </c>
      <c r="D8" s="10">
        <f t="shared" ref="D8" si="1">D16+D104+D327+D369+D503+D572</f>
        <v>906999800</v>
      </c>
      <c r="E8" s="10">
        <f>E16+E104+E327+E369+E503+E572</f>
        <v>906590600</v>
      </c>
      <c r="F8" s="20"/>
      <c r="G8" s="10">
        <f t="shared" ref="G8:Q8" si="2">G16+G104+G327+G369+G503+G572</f>
        <v>12183501632</v>
      </c>
      <c r="H8" s="10">
        <f t="shared" si="2"/>
        <v>8778190534</v>
      </c>
      <c r="I8" s="10">
        <f t="shared" si="2"/>
        <v>543476516</v>
      </c>
      <c r="J8" s="10">
        <f t="shared" si="2"/>
        <v>7015113849</v>
      </c>
      <c r="K8" s="10">
        <f t="shared" si="2"/>
        <v>6521637333</v>
      </c>
      <c r="L8" s="10">
        <f t="shared" si="2"/>
        <v>493476516</v>
      </c>
      <c r="M8" s="10">
        <f t="shared" si="2"/>
        <v>2421176340</v>
      </c>
      <c r="N8" s="10">
        <f t="shared" si="2"/>
        <v>2306553201</v>
      </c>
      <c r="O8" s="10">
        <f t="shared" si="2"/>
        <v>2256553201</v>
      </c>
      <c r="P8" s="10">
        <f t="shared" si="2"/>
        <v>50000000</v>
      </c>
      <c r="Q8" s="10">
        <f t="shared" si="2"/>
        <v>440658242</v>
      </c>
    </row>
    <row r="9" spans="1:45" s="28" customFormat="1" ht="30" hidden="1" customHeight="1" x14ac:dyDescent="0.35">
      <c r="A9" s="21" t="s">
        <v>18</v>
      </c>
      <c r="B9" s="21"/>
      <c r="C9" s="22"/>
      <c r="D9" s="23"/>
      <c r="E9" s="24"/>
      <c r="F9" s="25"/>
      <c r="G9" s="26" t="e">
        <f>H9+I9+M9+Q9</f>
        <v>#REF!</v>
      </c>
      <c r="H9" s="27" t="e">
        <f>K9+O9</f>
        <v>#REF!</v>
      </c>
      <c r="I9" s="27" t="e">
        <f>L9+P9</f>
        <v>#REF!</v>
      </c>
      <c r="J9" s="26" t="e">
        <f>K9+L9</f>
        <v>#REF!</v>
      </c>
      <c r="K9" s="27" t="e">
        <f>K19+K29+K34+K41+K47+K50+K56+K60+K63+K67+K74+K79+K107+K111+K120+K127+K131+K136+K139+K143+K148+K269+K439+K153+K156+K159+K162+K165+K168+K171+K174+K178+K183+K188+K195+K202+K209+K212+K217+K222+K225+K229+K236+K243+K251+K254+K258+K261+K264+K274+K277+K280+K283+K286+K289+K294+K299+K304+K333+K330+K337+K345+K349+K356+K342+K371+K375+K378+K381+K384+K391+K394+K398+K408+K411+K415+K419+K423+K427+K432+K436+K439+K445+K449+K457+K466+K470+K474+K489+K479+K482+K485+K506+K511+K516+K521+#REF!+#REF!+K531+K537+K542+K547+K552+#REF!+#REF!</f>
        <v>#REF!</v>
      </c>
      <c r="L9" s="27" t="e">
        <f>L19+L29+L34+L41+L47+L50+L57+L60+L63+L67+L74+L79+L107+L111+L117+L120+L127+L131+L136+L139+L143+L148+L269+L439+L153+L156+L159+L162+L165+L168+L171+L174+L178+L183+L188+L195+L202+L209+L212+L217+L222+L225+L229+L236+L243+L251+L254+L258+L261+L264+L274+L277+L280+L283+L286+L289+L294+L299+L304+L333+L330+L337+L345+L349+L356+L342+L371+L375+L378+L381+L384+L391+L394+L398+L408+L411+L415+L419+L423+L427+L432+L436+L439+L445+L449+L457+L466+L470+L474+L489+L479+L482+L485+L506+L511+L516+L521+#REF!+#REF!+L531+L537+L542+L547+L552+#REF!+#REF!</f>
        <v>#REF!</v>
      </c>
      <c r="M9" s="26">
        <f>M107+M111+M120+M127+M131+M136+M139+M143+M148+M269+M153+M156+M159+M162+M165+M168+M171+M174+M178+M183+M188+M195+M202+M209+M212+M217+M222+M225+M229+M236+M243+M251+M254+M258+M261+M264+M274+M277+M280+M283+M286+M289+M294+M299+M330+M304+M333+M337+M342+M345+M349+M356</f>
        <v>2306326340</v>
      </c>
      <c r="N9" s="26">
        <f>O9+P9</f>
        <v>2304175201</v>
      </c>
      <c r="O9" s="27">
        <f>O372+O376+O379+O382+O385+O392+O395+O398+O409+O412+O416+O420+O424+O428+O433+O437+O439+O446+O450+O457+O471+O475+O490+O480+O483+O486</f>
        <v>2255125201</v>
      </c>
      <c r="P9" s="27">
        <f>P372+P376+P379+P382+P385+P392+P395+P398+P409+P412+P416+P420+P424+P428+P433+P437+P439+P446+P450+P457+P471+P475+P490+P480+P483+P486</f>
        <v>49050000</v>
      </c>
      <c r="Q9" s="26">
        <f>Q575+Q583+Q588+Q591+Q599+Q604+Q607+Q612</f>
        <v>435158242</v>
      </c>
    </row>
    <row r="10" spans="1:45" s="28" customFormat="1" ht="30" hidden="1" customHeight="1" x14ac:dyDescent="0.35">
      <c r="A10" s="273"/>
      <c r="B10" s="273"/>
      <c r="C10" s="22"/>
      <c r="D10" s="23"/>
      <c r="E10" s="24"/>
      <c r="F10" s="25"/>
      <c r="G10" s="26">
        <f>H10+I10+M10+Q10</f>
        <v>12183501632</v>
      </c>
      <c r="H10" s="27">
        <f>K10+O10</f>
        <v>8778190534</v>
      </c>
      <c r="I10" s="27">
        <f>L10+P10</f>
        <v>543476516</v>
      </c>
      <c r="J10" s="26">
        <f>[7]PSK_Verzia_6_0_Tem_koncentracia!AC31</f>
        <v>7049912714</v>
      </c>
      <c r="K10" s="27">
        <f>[7]PSK_Verzia_6_0_Tem_koncentracia!AC29</f>
        <v>6556436198</v>
      </c>
      <c r="L10" s="27">
        <f>[7]PSK_Verzia_6_0_Tem_koncentracia!AC30</f>
        <v>493476516</v>
      </c>
      <c r="M10" s="26">
        <f>[7]PSK_Verzia_6_0_Tem_koncentracia!AC35</f>
        <v>2421176340</v>
      </c>
      <c r="N10" s="26">
        <f>[7]PSK_Verzia_6_0_Tem_koncentracia!AC34</f>
        <v>2271754336</v>
      </c>
      <c r="O10" s="27">
        <f>[7]PSK_Verzia_6_0_Tem_koncentracia!AC32</f>
        <v>2221754336</v>
      </c>
      <c r="P10" s="27">
        <f>[7]PSK_Verzia_6_0_Tem_koncentracia!AC33</f>
        <v>50000000</v>
      </c>
      <c r="Q10" s="26">
        <f>[7]PSK_Verzia_6_0_Tem_koncentracia!AC38</f>
        <v>440658242</v>
      </c>
    </row>
    <row r="11" spans="1:45" s="34" customFormat="1" ht="30" customHeight="1" x14ac:dyDescent="0.35">
      <c r="A11" s="13" t="s">
        <v>19</v>
      </c>
      <c r="B11" s="21"/>
      <c r="C11" s="29">
        <f>G11/G6</f>
        <v>0.19145205880759664</v>
      </c>
      <c r="D11" s="30"/>
      <c r="E11" s="31"/>
      <c r="F11" s="32"/>
      <c r="G11" s="18">
        <f t="shared" ref="G11:G13" si="3">H11+I11+M11+Q11</f>
        <v>2411096481</v>
      </c>
      <c r="H11" s="33">
        <f t="shared" ref="H11:Q11" si="4">H12+H13</f>
        <v>2002298590</v>
      </c>
      <c r="I11" s="33">
        <f t="shared" si="4"/>
        <v>108697891</v>
      </c>
      <c r="J11" s="18">
        <f t="shared" ref="J11" si="5">K11+L11</f>
        <v>2110996481</v>
      </c>
      <c r="K11" s="33">
        <f t="shared" si="4"/>
        <v>2002298590</v>
      </c>
      <c r="L11" s="33">
        <f t="shared" si="4"/>
        <v>108697891</v>
      </c>
      <c r="M11" s="18">
        <f t="shared" si="4"/>
        <v>300100000</v>
      </c>
      <c r="N11" s="18">
        <f t="shared" si="4"/>
        <v>0</v>
      </c>
      <c r="O11" s="33">
        <f t="shared" si="4"/>
        <v>0</v>
      </c>
      <c r="P11" s="33">
        <f t="shared" si="4"/>
        <v>0</v>
      </c>
      <c r="Q11" s="18">
        <f t="shared" si="4"/>
        <v>0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</row>
    <row r="12" spans="1:45" s="34" customFormat="1" ht="30" customHeight="1" x14ac:dyDescent="0.35">
      <c r="A12" s="13" t="s">
        <v>20</v>
      </c>
      <c r="B12" s="21"/>
      <c r="C12" s="36">
        <f>J12/J8</f>
        <v>0.109007659100074</v>
      </c>
      <c r="D12" s="37"/>
      <c r="E12" s="38"/>
      <c r="F12" s="17"/>
      <c r="G12" s="18">
        <f t="shared" si="3"/>
        <v>993592139</v>
      </c>
      <c r="H12" s="33">
        <f>H25+H54+H73+H115+H135+H152+H273+H187+H192+H199+H206+H216+H221+H233+H240+H247+H268+H298+H303+H308+H322+H353+H360+H388+H402+H454+H461+H465+H510+H515+H520+H525+H530+H535+H541+H546+H551+H556+H561+H566+H571+H315</f>
        <v>737127477</v>
      </c>
      <c r="I12" s="33">
        <f t="shared" ref="I12:M12" si="6">I25+I54+I73+I115+I135+I152+I273+I187+I192+I199+I206+I216+I221+I233+I240+I247+I268+I298+I303+I308+I322+I353+I360+I388+I402+I454+I461+I465+I510+I515+I520+I525+I530+I535+I541+I546+I551+I556+I561+I566+I571</f>
        <v>27573662</v>
      </c>
      <c r="J12" s="18">
        <f>J25+J54+J73+J115+J135+J152+J273+J187+J192+J199+J206+J216+J221+J233+J240+J247+J268+J298+J303+J308+J322+J353+J360+J388+J402+J454+J461+J465+J510+J515+J520+J525+J530+J535+J541+J546+J551+J556+J561+J566+J571+J315</f>
        <v>764701139</v>
      </c>
      <c r="K12" s="33">
        <f>K25+K54+K73+K115+K135+K152+K273+K187+K192+K199+K206+K216+K221+K233+K240+K247+K268+K298+K303+K308+K322+K353+K360+K388+K402+K454+K461+K465+K510+K515+K520+K525+K530+K535+K541+K546+K551+K556+K561+K566+K571+K315</f>
        <v>737127477</v>
      </c>
      <c r="L12" s="33">
        <f t="shared" si="6"/>
        <v>27573662</v>
      </c>
      <c r="M12" s="18">
        <f t="shared" si="6"/>
        <v>228891000</v>
      </c>
      <c r="N12" s="18">
        <f>N25+N54+N73+N115+N135+N152+N273+N187+N192+N199+N206+N216+N221+N233+N240+N247+N268+N298+N303+N308+N353+N360+N388+N402+N454+N461+N465+N510+N515+N520+N525+N530+N535+N541+N546+N551+N556+N561</f>
        <v>0</v>
      </c>
      <c r="O12" s="33">
        <f>O25+O54+O73+O115+O135+O152+O273+O187+O192+O199+O206+O216+O221+O233+O240+O247+O268+O298+O303+O308+O322+O353+O360+O388+O402+O454+O461+O465+O510+O515+O520+O525+O530+O535+O541+O546+O551+O556+O561+O566+O571</f>
        <v>0</v>
      </c>
      <c r="P12" s="33">
        <f>P25+P54+P73+P115+P135+P152+P273+P187+P192+P199+P206+P216+P221+P233+P240+P247+P268+P298+P303+P308+P322+P353+P360+P388+P402+P454+P461+P465+P510+P515+P520+P525+P530+P535+P541+P546+P551+P556+P561+P566+P571</f>
        <v>0</v>
      </c>
      <c r="Q12" s="18">
        <f>Q25+Q54+Q73+Q115+Q135+Q152+Q273+Q187+Q192+Q199+Q206+Q216+Q221+Q233+Q240+Q247+Q268+Q298+Q303+Q308+Q322+Q353+Q360+Q388+Q402+Q454+Q461+Q465+Q510+Q515+Q520+Q525+Q530+Q535+Q541+Q546+Q551+Q556+Q561+Q566+Q571</f>
        <v>0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45" s="34" customFormat="1" ht="30" customHeight="1" x14ac:dyDescent="0.35">
      <c r="A13" s="13" t="s">
        <v>21</v>
      </c>
      <c r="B13" s="21"/>
      <c r="C13" s="29"/>
      <c r="D13" s="37"/>
      <c r="E13" s="38"/>
      <c r="F13" s="17"/>
      <c r="G13" s="18">
        <f t="shared" si="3"/>
        <v>1417504342</v>
      </c>
      <c r="H13" s="33">
        <f t="shared" ref="H13:P13" si="7">H24+H53+H72+H114+H134+H151+H272+H186+H191+H198+H205+H215+H220+H232+H239+H246+H267+H297+H302+H307+H314+H321+H352+H359+H387+H401+H453+H460+H464+H509+H514+H519+H524+H529+H534+H540+H545+H550+H555+H560+H565+H570</f>
        <v>1265171113</v>
      </c>
      <c r="I13" s="33">
        <f t="shared" si="7"/>
        <v>81124229</v>
      </c>
      <c r="J13" s="18">
        <f t="shared" si="7"/>
        <v>1346295342</v>
      </c>
      <c r="K13" s="33">
        <f t="shared" si="7"/>
        <v>1265171113</v>
      </c>
      <c r="L13" s="33">
        <f t="shared" si="7"/>
        <v>81124229</v>
      </c>
      <c r="M13" s="18">
        <f t="shared" si="7"/>
        <v>71209000</v>
      </c>
      <c r="N13" s="18">
        <f t="shared" si="7"/>
        <v>0</v>
      </c>
      <c r="O13" s="33">
        <f t="shared" si="7"/>
        <v>0</v>
      </c>
      <c r="P13" s="33">
        <f t="shared" si="7"/>
        <v>0</v>
      </c>
      <c r="Q13" s="18">
        <f>Q24+Q53+Q72+Q114+Q134+Q151+Q272+Q186+Q191+Q198+Q205+Q215+Q220+Q232+Q239+Q246+Q267+Q297+Q302+Q307+Q314+Q321+Q352+Q359+Q387+Q401+Q453+Q460+Q464+Q509+Q514+Q519+Q524+Q529+Q534+Q540+Q545+Q550+Q555+Q560+Q565+Q570</f>
        <v>0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</row>
    <row r="14" spans="1:45" s="34" customFormat="1" ht="30" customHeight="1" x14ac:dyDescent="0.35">
      <c r="A14" s="13" t="s">
        <v>22</v>
      </c>
      <c r="B14" s="21"/>
      <c r="C14" s="15"/>
      <c r="D14" s="37"/>
      <c r="E14" s="36">
        <f>E8/G6</f>
        <v>7.1987429052870949E-2</v>
      </c>
      <c r="F14" s="17"/>
      <c r="G14" s="18">
        <f t="shared" ref="G14:L14" si="8">G28+G59+G110+G116+G119+G130+G248+G336+G340+G348+G389+G452+G496+G582+G579+G598+G618</f>
        <v>906590600</v>
      </c>
      <c r="H14" s="33">
        <f t="shared" si="8"/>
        <v>655978255</v>
      </c>
      <c r="I14" s="33">
        <f t="shared" si="8"/>
        <v>46707495</v>
      </c>
      <c r="J14" s="18">
        <f t="shared" si="8"/>
        <v>702685750</v>
      </c>
      <c r="K14" s="33">
        <f t="shared" si="8"/>
        <v>655978255</v>
      </c>
      <c r="L14" s="33">
        <f t="shared" si="8"/>
        <v>46707495</v>
      </c>
      <c r="M14" s="18">
        <f>M28+M59+M110+M116+M119+M130+M248+M336+M340+M348+M389+M452+M496+M582+M579+M598+M618</f>
        <v>127989250</v>
      </c>
      <c r="N14" s="18">
        <f t="shared" ref="N14:Q14" si="9">N28+N59+N110+N116+N119+N130+N248+N336+N340+N348+N389+N452+N496+N582+N579+N598+N618</f>
        <v>0</v>
      </c>
      <c r="O14" s="33">
        <f t="shared" si="9"/>
        <v>0</v>
      </c>
      <c r="P14" s="33">
        <f t="shared" si="9"/>
        <v>0</v>
      </c>
      <c r="Q14" s="18">
        <f t="shared" si="9"/>
        <v>75915600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45" s="34" customFormat="1" ht="30" customHeight="1" x14ac:dyDescent="0.35">
      <c r="A15" s="13" t="s">
        <v>23</v>
      </c>
      <c r="B15" s="21"/>
      <c r="C15" s="15"/>
      <c r="D15" s="36">
        <f>D8/G6</f>
        <v>7.2019921399436679E-2</v>
      </c>
      <c r="E15" s="38"/>
      <c r="F15" s="17"/>
      <c r="G15" s="18">
        <f>H15+I15+M15+Q15</f>
        <v>906999800</v>
      </c>
      <c r="H15" s="33">
        <f t="shared" ref="H15:M15" si="10">H182+H194+H201+H208+H235+H242+H250+H355+H362+H374+H397+H404+H414+H422+H426+H430+H435+H444+H448+H456+H473+H477+H498</f>
        <v>898249831</v>
      </c>
      <c r="I15" s="33">
        <f t="shared" si="10"/>
        <v>8749969</v>
      </c>
      <c r="J15" s="18">
        <f t="shared" si="10"/>
        <v>229500000</v>
      </c>
      <c r="K15" s="33">
        <f t="shared" si="10"/>
        <v>224500000</v>
      </c>
      <c r="L15" s="33">
        <f t="shared" si="10"/>
        <v>5000000</v>
      </c>
      <c r="M15" s="18">
        <f t="shared" si="10"/>
        <v>0</v>
      </c>
      <c r="N15" s="18">
        <f>O15+P15</f>
        <v>677499800</v>
      </c>
      <c r="O15" s="33">
        <f>O182+O194+O201+O208+O235+O242+O250+O355+O362+O374+O397+O404+O414+O422+O426+O430+O435+O444+O448+O456+O473+O477+O498</f>
        <v>673749831</v>
      </c>
      <c r="P15" s="33">
        <f>P182+P194+P201+P208+P235+P242+P250+P355+P362+P374+P397+P404+P414+P422+P426+P430+P435+P444+P448+P456+P473+P477+P498</f>
        <v>3749969</v>
      </c>
      <c r="Q15" s="18">
        <f>Q182+Q194+Q201+Q208+Q235+Q242+Q250+Q355+Q362+Q374+Q397+Q404+Q414+Q422+Q426+Q430+Q435+Q444+Q448+Q456+Q473+Q477+Q498</f>
        <v>0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45" s="44" customFormat="1" ht="78" x14ac:dyDescent="0.35">
      <c r="A16" s="39" t="s">
        <v>24</v>
      </c>
      <c r="B16" s="40" t="s">
        <v>25</v>
      </c>
      <c r="C16" s="41">
        <f>C17+C77+C82+C92+C100</f>
        <v>169803706</v>
      </c>
      <c r="D16" s="41">
        <f t="shared" ref="D16:Q16" si="11">D17+D77+D82+D92+D100</f>
        <v>0</v>
      </c>
      <c r="E16" s="41">
        <f t="shared" si="11"/>
        <v>161000000</v>
      </c>
      <c r="F16" s="43"/>
      <c r="G16" s="41">
        <f t="shared" si="11"/>
        <v>1631243498</v>
      </c>
      <c r="H16" s="41">
        <f t="shared" si="11"/>
        <v>1448946882</v>
      </c>
      <c r="I16" s="41">
        <f t="shared" si="11"/>
        <v>182296616</v>
      </c>
      <c r="J16" s="41">
        <f t="shared" si="11"/>
        <v>1631243498</v>
      </c>
      <c r="K16" s="41">
        <f t="shared" si="11"/>
        <v>1448946882</v>
      </c>
      <c r="L16" s="41">
        <f t="shared" si="11"/>
        <v>182296616</v>
      </c>
      <c r="M16" s="41">
        <f t="shared" si="11"/>
        <v>0</v>
      </c>
      <c r="N16" s="41">
        <f t="shared" si="11"/>
        <v>0</v>
      </c>
      <c r="O16" s="41">
        <f t="shared" si="11"/>
        <v>0</v>
      </c>
      <c r="P16" s="41">
        <f t="shared" si="11"/>
        <v>0</v>
      </c>
      <c r="Q16" s="41">
        <f t="shared" si="11"/>
        <v>0</v>
      </c>
    </row>
    <row r="17" spans="1:17" s="44" customFormat="1" ht="30" customHeight="1" x14ac:dyDescent="0.35">
      <c r="A17" s="45" t="s">
        <v>26</v>
      </c>
      <c r="B17" s="46" t="s">
        <v>27</v>
      </c>
      <c r="C17" s="47">
        <f>C18+C46+C55+C66</f>
        <v>169803706</v>
      </c>
      <c r="D17" s="47">
        <f>D18+D46+D55+D66</f>
        <v>0</v>
      </c>
      <c r="E17" s="48">
        <f>E18+E46+E55+E66</f>
        <v>161000000</v>
      </c>
      <c r="F17" s="49"/>
      <c r="G17" s="48">
        <f>G18+G46+G55+G66</f>
        <v>1270387042</v>
      </c>
      <c r="H17" s="48">
        <f t="shared" ref="H17:Q17" si="12">H18+H46+H55+H66</f>
        <v>1130338372</v>
      </c>
      <c r="I17" s="48">
        <f t="shared" si="12"/>
        <v>140048670</v>
      </c>
      <c r="J17" s="48">
        <f t="shared" si="12"/>
        <v>1270387042</v>
      </c>
      <c r="K17" s="48">
        <f t="shared" si="12"/>
        <v>1130338372</v>
      </c>
      <c r="L17" s="48">
        <f t="shared" si="12"/>
        <v>140048670</v>
      </c>
      <c r="M17" s="48">
        <f t="shared" si="12"/>
        <v>0</v>
      </c>
      <c r="N17" s="48">
        <f t="shared" si="12"/>
        <v>0</v>
      </c>
      <c r="O17" s="48">
        <f t="shared" si="12"/>
        <v>0</v>
      </c>
      <c r="P17" s="48">
        <f t="shared" si="12"/>
        <v>0</v>
      </c>
      <c r="Q17" s="48">
        <f t="shared" si="12"/>
        <v>0</v>
      </c>
    </row>
    <row r="18" spans="1:17" s="55" customFormat="1" ht="52" x14ac:dyDescent="0.35">
      <c r="A18" s="50" t="s">
        <v>28</v>
      </c>
      <c r="B18" s="51" t="s">
        <v>29</v>
      </c>
      <c r="C18" s="52">
        <f>C19+C29+C34+C41</f>
        <v>43939618</v>
      </c>
      <c r="D18" s="52">
        <f>+D19+D29+D34+D41</f>
        <v>0</v>
      </c>
      <c r="E18" s="53">
        <f>E19+E29+E34+E41</f>
        <v>50000000</v>
      </c>
      <c r="F18" s="54" t="s">
        <v>30</v>
      </c>
      <c r="G18" s="52">
        <f t="shared" ref="G18:G50" si="13">J18+M18+N18+Q18</f>
        <v>665574806</v>
      </c>
      <c r="H18" s="52">
        <f t="shared" ref="H18:I33" si="14">K18+O18</f>
        <v>585135401</v>
      </c>
      <c r="I18" s="52">
        <f t="shared" si="14"/>
        <v>80439405</v>
      </c>
      <c r="J18" s="52">
        <f>J19+J29+J34+J41</f>
        <v>665574806</v>
      </c>
      <c r="K18" s="52">
        <f t="shared" ref="K18:Q18" si="15">K19+K29+K34+K41</f>
        <v>585135401</v>
      </c>
      <c r="L18" s="52">
        <f t="shared" si="15"/>
        <v>80439405</v>
      </c>
      <c r="M18" s="52">
        <f t="shared" si="15"/>
        <v>0</v>
      </c>
      <c r="N18" s="52">
        <f t="shared" si="15"/>
        <v>0</v>
      </c>
      <c r="O18" s="52">
        <f t="shared" si="15"/>
        <v>0</v>
      </c>
      <c r="P18" s="52">
        <f t="shared" si="15"/>
        <v>0</v>
      </c>
      <c r="Q18" s="52">
        <f t="shared" si="15"/>
        <v>0</v>
      </c>
    </row>
    <row r="19" spans="1:17" ht="28" customHeight="1" x14ac:dyDescent="0.35">
      <c r="A19" s="214" t="s">
        <v>31</v>
      </c>
      <c r="B19" s="215" t="s">
        <v>32</v>
      </c>
      <c r="C19" s="56">
        <f>C20+C22+C26</f>
        <v>43939618</v>
      </c>
      <c r="D19" s="57"/>
      <c r="E19" s="58">
        <f>E20+E22+E26</f>
        <v>50000000</v>
      </c>
      <c r="F19" s="59" t="s">
        <v>33</v>
      </c>
      <c r="G19" s="58">
        <f t="shared" si="13"/>
        <v>386932188</v>
      </c>
      <c r="H19" s="58">
        <f t="shared" si="14"/>
        <v>351634339</v>
      </c>
      <c r="I19" s="58">
        <f t="shared" si="14"/>
        <v>35297849</v>
      </c>
      <c r="J19" s="58">
        <f>J20+J22+J26</f>
        <v>386932188</v>
      </c>
      <c r="K19" s="58">
        <f t="shared" ref="K19:Q19" si="16">K20+K22+K26</f>
        <v>351634339</v>
      </c>
      <c r="L19" s="58">
        <f t="shared" si="16"/>
        <v>35297849</v>
      </c>
      <c r="M19" s="58">
        <f t="shared" si="16"/>
        <v>0</v>
      </c>
      <c r="N19" s="58">
        <f t="shared" si="16"/>
        <v>0</v>
      </c>
      <c r="O19" s="58">
        <f t="shared" si="16"/>
        <v>0</v>
      </c>
      <c r="P19" s="58">
        <f t="shared" si="16"/>
        <v>0</v>
      </c>
      <c r="Q19" s="58">
        <f t="shared" si="16"/>
        <v>0</v>
      </c>
    </row>
    <row r="20" spans="1:17" s="62" customFormat="1" ht="28" customHeight="1" x14ac:dyDescent="0.35">
      <c r="A20" s="214"/>
      <c r="B20" s="215"/>
      <c r="C20" s="60">
        <v>0</v>
      </c>
      <c r="D20" s="60">
        <v>0</v>
      </c>
      <c r="E20" s="60">
        <v>0</v>
      </c>
      <c r="F20" s="61" t="s">
        <v>34</v>
      </c>
      <c r="G20" s="60">
        <f t="shared" si="13"/>
        <v>131621689</v>
      </c>
      <c r="H20" s="60">
        <f t="shared" si="14"/>
        <v>122555065</v>
      </c>
      <c r="I20" s="60">
        <f t="shared" si="14"/>
        <v>9066624</v>
      </c>
      <c r="J20" s="60">
        <f>J21</f>
        <v>131621689</v>
      </c>
      <c r="K20" s="60">
        <f t="shared" ref="K20:Q20" si="17">K21</f>
        <v>122555065</v>
      </c>
      <c r="L20" s="60">
        <f t="shared" si="17"/>
        <v>9066624</v>
      </c>
      <c r="M20" s="60">
        <f t="shared" si="17"/>
        <v>0</v>
      </c>
      <c r="N20" s="60">
        <f t="shared" si="17"/>
        <v>0</v>
      </c>
      <c r="O20" s="60">
        <f t="shared" si="17"/>
        <v>0</v>
      </c>
      <c r="P20" s="60">
        <f t="shared" si="17"/>
        <v>0</v>
      </c>
      <c r="Q20" s="60">
        <f t="shared" si="17"/>
        <v>0</v>
      </c>
    </row>
    <row r="21" spans="1:17" s="62" customFormat="1" ht="28" customHeight="1" x14ac:dyDescent="0.35">
      <c r="A21" s="214"/>
      <c r="B21" s="215"/>
      <c r="C21" s="63"/>
      <c r="D21" s="64"/>
      <c r="E21" s="65"/>
      <c r="F21" s="66" t="s">
        <v>35</v>
      </c>
      <c r="G21" s="67">
        <f t="shared" si="13"/>
        <v>131621689</v>
      </c>
      <c r="H21" s="67">
        <f t="shared" si="14"/>
        <v>122555065</v>
      </c>
      <c r="I21" s="67">
        <f t="shared" si="14"/>
        <v>9066624</v>
      </c>
      <c r="J21" s="67">
        <f>K21+L21</f>
        <v>131621689</v>
      </c>
      <c r="K21" s="67">
        <f>84932075+37622990</f>
        <v>122555065</v>
      </c>
      <c r="L21" s="67">
        <f>27617925-18551301</f>
        <v>9066624</v>
      </c>
      <c r="M21" s="68">
        <v>0</v>
      </c>
      <c r="N21" s="68">
        <f>O21+P21</f>
        <v>0</v>
      </c>
      <c r="O21" s="68">
        <v>0</v>
      </c>
      <c r="P21" s="68">
        <v>0</v>
      </c>
      <c r="Q21" s="68">
        <v>0</v>
      </c>
    </row>
    <row r="22" spans="1:17" s="62" customFormat="1" ht="28" customHeight="1" x14ac:dyDescent="0.35">
      <c r="A22" s="214"/>
      <c r="B22" s="215"/>
      <c r="C22" s="69">
        <f>G24+G25</f>
        <v>43939618</v>
      </c>
      <c r="D22" s="60">
        <v>0</v>
      </c>
      <c r="E22" s="60">
        <v>0</v>
      </c>
      <c r="F22" s="61" t="s">
        <v>36</v>
      </c>
      <c r="G22" s="60">
        <f t="shared" si="13"/>
        <v>43939618</v>
      </c>
      <c r="H22" s="60">
        <f t="shared" si="14"/>
        <v>43939618</v>
      </c>
      <c r="I22" s="60">
        <f t="shared" si="14"/>
        <v>0</v>
      </c>
      <c r="J22" s="60">
        <f>J23+J24+J25</f>
        <v>43939618</v>
      </c>
      <c r="K22" s="60">
        <f t="shared" ref="K22:Q22" si="18">K23+K24+K25</f>
        <v>43939618</v>
      </c>
      <c r="L22" s="60">
        <f t="shared" si="18"/>
        <v>0</v>
      </c>
      <c r="M22" s="60">
        <f t="shared" si="18"/>
        <v>0</v>
      </c>
      <c r="N22" s="60">
        <f t="shared" si="18"/>
        <v>0</v>
      </c>
      <c r="O22" s="60">
        <f t="shared" si="18"/>
        <v>0</v>
      </c>
      <c r="P22" s="60">
        <f t="shared" si="18"/>
        <v>0</v>
      </c>
      <c r="Q22" s="60">
        <f t="shared" si="18"/>
        <v>0</v>
      </c>
    </row>
    <row r="23" spans="1:17" s="62" customFormat="1" ht="28" customHeight="1" x14ac:dyDescent="0.35">
      <c r="A23" s="214"/>
      <c r="B23" s="215"/>
      <c r="C23" s="70"/>
      <c r="D23" s="64"/>
      <c r="E23" s="65"/>
      <c r="F23" s="66" t="s">
        <v>37</v>
      </c>
      <c r="G23" s="67">
        <f t="shared" si="13"/>
        <v>0</v>
      </c>
      <c r="H23" s="67">
        <f t="shared" si="14"/>
        <v>0</v>
      </c>
      <c r="I23" s="67">
        <f t="shared" si="14"/>
        <v>0</v>
      </c>
      <c r="J23" s="67">
        <f>K23+L23</f>
        <v>0</v>
      </c>
      <c r="K23" s="67">
        <v>0</v>
      </c>
      <c r="L23" s="67">
        <v>0</v>
      </c>
      <c r="M23" s="68">
        <v>0</v>
      </c>
      <c r="N23" s="68">
        <f>O23+P23</f>
        <v>0</v>
      </c>
      <c r="O23" s="68">
        <v>0</v>
      </c>
      <c r="P23" s="68">
        <v>0</v>
      </c>
      <c r="Q23" s="68">
        <v>0</v>
      </c>
    </row>
    <row r="24" spans="1:17" s="62" customFormat="1" ht="28" customHeight="1" x14ac:dyDescent="0.35">
      <c r="A24" s="214"/>
      <c r="B24" s="215"/>
      <c r="C24" s="70"/>
      <c r="D24" s="64"/>
      <c r="E24" s="65"/>
      <c r="F24" s="66" t="s">
        <v>38</v>
      </c>
      <c r="G24" s="71">
        <f t="shared" si="13"/>
        <v>36624198</v>
      </c>
      <c r="H24" s="71">
        <f t="shared" si="14"/>
        <v>36624198</v>
      </c>
      <c r="I24" s="71">
        <f t="shared" si="14"/>
        <v>0</v>
      </c>
      <c r="J24" s="71">
        <f>K24+L24</f>
        <v>36624198</v>
      </c>
      <c r="K24" s="71">
        <f>57000000-3838559-1000000-6805114+2085187+850000-845370-10821946</f>
        <v>36624198</v>
      </c>
      <c r="L24" s="71">
        <v>0</v>
      </c>
      <c r="M24" s="71">
        <v>0</v>
      </c>
      <c r="N24" s="71">
        <f>O24+P24</f>
        <v>0</v>
      </c>
      <c r="O24" s="71">
        <v>0</v>
      </c>
      <c r="P24" s="71">
        <v>0</v>
      </c>
      <c r="Q24" s="71">
        <v>0</v>
      </c>
    </row>
    <row r="25" spans="1:17" s="62" customFormat="1" ht="28" customHeight="1" x14ac:dyDescent="0.35">
      <c r="A25" s="214"/>
      <c r="B25" s="215"/>
      <c r="C25" s="70"/>
      <c r="D25" s="64"/>
      <c r="E25" s="65"/>
      <c r="F25" s="66" t="s">
        <v>39</v>
      </c>
      <c r="G25" s="71">
        <f t="shared" si="13"/>
        <v>7315420</v>
      </c>
      <c r="H25" s="71">
        <f t="shared" si="14"/>
        <v>7315420</v>
      </c>
      <c r="I25" s="71">
        <f t="shared" si="14"/>
        <v>0</v>
      </c>
      <c r="J25" s="71">
        <f>K25+L25</f>
        <v>7315420</v>
      </c>
      <c r="K25" s="71">
        <f>23000000-508779-607971-813235-1366403-896842-786546-1119360-1143015-2085187-850000-360406-5146836</f>
        <v>7315420</v>
      </c>
      <c r="L25" s="71">
        <v>0</v>
      </c>
      <c r="M25" s="71">
        <v>0</v>
      </c>
      <c r="N25" s="71">
        <f>O25+P25</f>
        <v>0</v>
      </c>
      <c r="O25" s="71">
        <v>0</v>
      </c>
      <c r="P25" s="71">
        <v>0</v>
      </c>
      <c r="Q25" s="71">
        <v>0</v>
      </c>
    </row>
    <row r="26" spans="1:17" s="62" customFormat="1" ht="28" customHeight="1" x14ac:dyDescent="0.35">
      <c r="A26" s="214"/>
      <c r="B26" s="215"/>
      <c r="C26" s="60">
        <v>0</v>
      </c>
      <c r="D26" s="60">
        <v>0</v>
      </c>
      <c r="E26" s="72">
        <f>G28</f>
        <v>50000000</v>
      </c>
      <c r="F26" s="61" t="s">
        <v>40</v>
      </c>
      <c r="G26" s="60">
        <f t="shared" si="13"/>
        <v>211370881</v>
      </c>
      <c r="H26" s="60">
        <f t="shared" si="14"/>
        <v>185139656</v>
      </c>
      <c r="I26" s="60">
        <f t="shared" si="14"/>
        <v>26231225</v>
      </c>
      <c r="J26" s="60">
        <f>J27+J28</f>
        <v>211370881</v>
      </c>
      <c r="K26" s="60">
        <f t="shared" ref="K26:Q26" si="19">K27+K28</f>
        <v>185139656</v>
      </c>
      <c r="L26" s="60">
        <f t="shared" si="19"/>
        <v>26231225</v>
      </c>
      <c r="M26" s="60">
        <f t="shared" si="19"/>
        <v>0</v>
      </c>
      <c r="N26" s="60">
        <f t="shared" si="19"/>
        <v>0</v>
      </c>
      <c r="O26" s="60">
        <f t="shared" si="19"/>
        <v>0</v>
      </c>
      <c r="P26" s="60">
        <f t="shared" si="19"/>
        <v>0</v>
      </c>
      <c r="Q26" s="60">
        <f t="shared" si="19"/>
        <v>0</v>
      </c>
    </row>
    <row r="27" spans="1:17" s="62" customFormat="1" ht="28" customHeight="1" x14ac:dyDescent="0.35">
      <c r="A27" s="214"/>
      <c r="B27" s="215"/>
      <c r="C27" s="63"/>
      <c r="D27" s="64"/>
      <c r="E27" s="73"/>
      <c r="F27" s="66" t="s">
        <v>41</v>
      </c>
      <c r="G27" s="67">
        <f t="shared" si="13"/>
        <v>161370881</v>
      </c>
      <c r="H27" s="67">
        <f t="shared" si="14"/>
        <v>135139656</v>
      </c>
      <c r="I27" s="67">
        <f t="shared" si="14"/>
        <v>26231225</v>
      </c>
      <c r="J27" s="67">
        <f>K27+L27</f>
        <v>161370881</v>
      </c>
      <c r="K27" s="67">
        <f>155918775-25000000+4220881</f>
        <v>135139656</v>
      </c>
      <c r="L27" s="67">
        <f>31231225-5000000</f>
        <v>26231225</v>
      </c>
      <c r="M27" s="68">
        <v>0</v>
      </c>
      <c r="N27" s="68">
        <f>O27+P27</f>
        <v>0</v>
      </c>
      <c r="O27" s="68">
        <v>0</v>
      </c>
      <c r="P27" s="68">
        <v>0</v>
      </c>
      <c r="Q27" s="68">
        <v>0</v>
      </c>
    </row>
    <row r="28" spans="1:17" s="62" customFormat="1" ht="28" customHeight="1" x14ac:dyDescent="0.35">
      <c r="A28" s="214"/>
      <c r="B28" s="215"/>
      <c r="C28" s="63"/>
      <c r="D28" s="64"/>
      <c r="E28" s="73"/>
      <c r="F28" s="66" t="s">
        <v>42</v>
      </c>
      <c r="G28" s="74">
        <f t="shared" si="13"/>
        <v>50000000</v>
      </c>
      <c r="H28" s="74">
        <f t="shared" si="14"/>
        <v>50000000</v>
      </c>
      <c r="I28" s="74">
        <f t="shared" si="14"/>
        <v>0</v>
      </c>
      <c r="J28" s="74">
        <f>K28+L28</f>
        <v>50000000</v>
      </c>
      <c r="K28" s="74">
        <v>50000000</v>
      </c>
      <c r="L28" s="74">
        <v>0</v>
      </c>
      <c r="M28" s="74">
        <v>0</v>
      </c>
      <c r="N28" s="74">
        <f>O28+P28</f>
        <v>0</v>
      </c>
      <c r="O28" s="74">
        <v>0</v>
      </c>
      <c r="P28" s="74">
        <v>0</v>
      </c>
      <c r="Q28" s="74">
        <v>0</v>
      </c>
    </row>
    <row r="29" spans="1:17" ht="28" customHeight="1" x14ac:dyDescent="0.35">
      <c r="A29" s="214" t="s">
        <v>43</v>
      </c>
      <c r="B29" s="215" t="s">
        <v>44</v>
      </c>
      <c r="C29" s="56">
        <f>C30+C32</f>
        <v>0</v>
      </c>
      <c r="D29" s="57">
        <f>D30+D32</f>
        <v>0</v>
      </c>
      <c r="E29" s="58">
        <f>E30+E32</f>
        <v>0</v>
      </c>
      <c r="F29" s="59" t="s">
        <v>45</v>
      </c>
      <c r="G29" s="58">
        <f t="shared" si="13"/>
        <v>0</v>
      </c>
      <c r="H29" s="58">
        <f t="shared" si="14"/>
        <v>0</v>
      </c>
      <c r="I29" s="58">
        <f t="shared" si="14"/>
        <v>0</v>
      </c>
      <c r="J29" s="58">
        <f>J30+J32</f>
        <v>0</v>
      </c>
      <c r="K29" s="58">
        <f t="shared" ref="K29:Q29" si="20">K30+K32</f>
        <v>0</v>
      </c>
      <c r="L29" s="58">
        <f t="shared" si="20"/>
        <v>0</v>
      </c>
      <c r="M29" s="58">
        <f t="shared" si="20"/>
        <v>0</v>
      </c>
      <c r="N29" s="58">
        <f t="shared" si="20"/>
        <v>0</v>
      </c>
      <c r="O29" s="58">
        <f t="shared" si="20"/>
        <v>0</v>
      </c>
      <c r="P29" s="58">
        <f t="shared" si="20"/>
        <v>0</v>
      </c>
      <c r="Q29" s="58">
        <f t="shared" si="20"/>
        <v>0</v>
      </c>
    </row>
    <row r="30" spans="1:17" ht="28" customHeight="1" x14ac:dyDescent="0.35">
      <c r="A30" s="214"/>
      <c r="B30" s="215"/>
      <c r="C30" s="60">
        <v>0</v>
      </c>
      <c r="D30" s="60">
        <v>0</v>
      </c>
      <c r="E30" s="60">
        <v>0</v>
      </c>
      <c r="F30" s="61" t="s">
        <v>34</v>
      </c>
      <c r="G30" s="60">
        <f t="shared" si="13"/>
        <v>0</v>
      </c>
      <c r="H30" s="60">
        <f t="shared" si="14"/>
        <v>0</v>
      </c>
      <c r="I30" s="60">
        <f t="shared" si="14"/>
        <v>0</v>
      </c>
      <c r="J30" s="60">
        <f>J31</f>
        <v>0</v>
      </c>
      <c r="K30" s="60">
        <f t="shared" ref="K30:Q30" si="21">K31</f>
        <v>0</v>
      </c>
      <c r="L30" s="60">
        <f t="shared" si="21"/>
        <v>0</v>
      </c>
      <c r="M30" s="60">
        <f t="shared" si="21"/>
        <v>0</v>
      </c>
      <c r="N30" s="60">
        <f t="shared" si="21"/>
        <v>0</v>
      </c>
      <c r="O30" s="60">
        <f t="shared" si="21"/>
        <v>0</v>
      </c>
      <c r="P30" s="60">
        <f t="shared" si="21"/>
        <v>0</v>
      </c>
      <c r="Q30" s="60">
        <f t="shared" si="21"/>
        <v>0</v>
      </c>
    </row>
    <row r="31" spans="1:17" ht="28" customHeight="1" x14ac:dyDescent="0.35">
      <c r="A31" s="214"/>
      <c r="B31" s="215"/>
      <c r="C31" s="63"/>
      <c r="D31" s="19"/>
      <c r="E31" s="19"/>
      <c r="F31" s="66" t="s">
        <v>35</v>
      </c>
      <c r="G31" s="67">
        <f t="shared" si="13"/>
        <v>0</v>
      </c>
      <c r="H31" s="67">
        <f t="shared" si="14"/>
        <v>0</v>
      </c>
      <c r="I31" s="67">
        <f t="shared" si="14"/>
        <v>0</v>
      </c>
      <c r="J31" s="67">
        <f>K31+L31</f>
        <v>0</v>
      </c>
      <c r="K31" s="67">
        <f>129650000-52402486-77247514</f>
        <v>0</v>
      </c>
      <c r="L31" s="67">
        <f>12100000-3839745-8260255</f>
        <v>0</v>
      </c>
      <c r="M31" s="68">
        <v>0</v>
      </c>
      <c r="N31" s="67">
        <f>O31+P31</f>
        <v>0</v>
      </c>
      <c r="O31" s="68">
        <v>0</v>
      </c>
      <c r="P31" s="68">
        <v>0</v>
      </c>
      <c r="Q31" s="68">
        <v>0</v>
      </c>
    </row>
    <row r="32" spans="1:17" ht="28" customHeight="1" x14ac:dyDescent="0.35">
      <c r="A32" s="214"/>
      <c r="B32" s="215"/>
      <c r="C32" s="60">
        <v>0</v>
      </c>
      <c r="D32" s="60">
        <v>0</v>
      </c>
      <c r="E32" s="60">
        <v>0</v>
      </c>
      <c r="F32" s="61" t="s">
        <v>40</v>
      </c>
      <c r="G32" s="60">
        <f t="shared" si="13"/>
        <v>0</v>
      </c>
      <c r="H32" s="60">
        <f t="shared" si="14"/>
        <v>0</v>
      </c>
      <c r="I32" s="60">
        <f t="shared" si="14"/>
        <v>0</v>
      </c>
      <c r="J32" s="60">
        <f>J33</f>
        <v>0</v>
      </c>
      <c r="K32" s="60">
        <f t="shared" ref="K32:Q32" si="22">K33</f>
        <v>0</v>
      </c>
      <c r="L32" s="60">
        <f t="shared" si="22"/>
        <v>0</v>
      </c>
      <c r="M32" s="60">
        <f t="shared" si="22"/>
        <v>0</v>
      </c>
      <c r="N32" s="60">
        <f t="shared" si="22"/>
        <v>0</v>
      </c>
      <c r="O32" s="60">
        <f t="shared" si="22"/>
        <v>0</v>
      </c>
      <c r="P32" s="60">
        <f t="shared" si="22"/>
        <v>0</v>
      </c>
      <c r="Q32" s="60">
        <f t="shared" si="22"/>
        <v>0</v>
      </c>
    </row>
    <row r="33" spans="1:17" ht="28" customHeight="1" x14ac:dyDescent="0.35">
      <c r="A33" s="214"/>
      <c r="B33" s="215"/>
      <c r="C33" s="63"/>
      <c r="D33" s="19"/>
      <c r="E33" s="19"/>
      <c r="F33" s="66" t="s">
        <v>41</v>
      </c>
      <c r="G33" s="67">
        <f t="shared" si="13"/>
        <v>0</v>
      </c>
      <c r="H33" s="67">
        <f t="shared" si="14"/>
        <v>0</v>
      </c>
      <c r="I33" s="67">
        <f t="shared" si="14"/>
        <v>0</v>
      </c>
      <c r="J33" s="67">
        <f>K33+L33</f>
        <v>0</v>
      </c>
      <c r="K33" s="67">
        <f>20750000-20750000</f>
        <v>0</v>
      </c>
      <c r="L33" s="67">
        <v>0</v>
      </c>
      <c r="M33" s="68">
        <v>0</v>
      </c>
      <c r="N33" s="67">
        <f>O33+P33</f>
        <v>0</v>
      </c>
      <c r="O33" s="68">
        <v>0</v>
      </c>
      <c r="P33" s="68">
        <v>0</v>
      </c>
      <c r="Q33" s="68">
        <v>0</v>
      </c>
    </row>
    <row r="34" spans="1:17" ht="28" customHeight="1" x14ac:dyDescent="0.35">
      <c r="A34" s="214" t="s">
        <v>46</v>
      </c>
      <c r="B34" s="215" t="s">
        <v>47</v>
      </c>
      <c r="C34" s="56">
        <f>C35+C37+C39</f>
        <v>0</v>
      </c>
      <c r="D34" s="57">
        <f>D35+D37+D39</f>
        <v>0</v>
      </c>
      <c r="E34" s="58">
        <f>E35+E37+E39</f>
        <v>0</v>
      </c>
      <c r="F34" s="59" t="s">
        <v>48</v>
      </c>
      <c r="G34" s="58">
        <f t="shared" si="13"/>
        <v>59285702</v>
      </c>
      <c r="H34" s="58">
        <f t="shared" ref="H34:I43" si="23">K34+O34</f>
        <v>39989195</v>
      </c>
      <c r="I34" s="58">
        <f t="shared" si="23"/>
        <v>19296507</v>
      </c>
      <c r="J34" s="58">
        <f>J35+J37+J39</f>
        <v>59285702</v>
      </c>
      <c r="K34" s="58">
        <f t="shared" ref="K34:Q34" si="24">K35+K37+K39</f>
        <v>39989195</v>
      </c>
      <c r="L34" s="58">
        <f t="shared" si="24"/>
        <v>19296507</v>
      </c>
      <c r="M34" s="58">
        <f t="shared" si="24"/>
        <v>0</v>
      </c>
      <c r="N34" s="58">
        <f t="shared" si="24"/>
        <v>0</v>
      </c>
      <c r="O34" s="58">
        <f t="shared" si="24"/>
        <v>0</v>
      </c>
      <c r="P34" s="58">
        <f t="shared" si="24"/>
        <v>0</v>
      </c>
      <c r="Q34" s="58">
        <f t="shared" si="24"/>
        <v>0</v>
      </c>
    </row>
    <row r="35" spans="1:17" s="62" customFormat="1" ht="28" customHeight="1" x14ac:dyDescent="0.35">
      <c r="A35" s="214"/>
      <c r="B35" s="215"/>
      <c r="C35" s="60">
        <v>0</v>
      </c>
      <c r="D35" s="60">
        <v>0</v>
      </c>
      <c r="E35" s="60">
        <v>0</v>
      </c>
      <c r="F35" s="61" t="s">
        <v>34</v>
      </c>
      <c r="G35" s="60">
        <f t="shared" si="13"/>
        <v>43424053</v>
      </c>
      <c r="H35" s="60">
        <f t="shared" si="23"/>
        <v>25627546</v>
      </c>
      <c r="I35" s="60">
        <f t="shared" si="23"/>
        <v>17796507</v>
      </c>
      <c r="J35" s="60">
        <f>J36</f>
        <v>43424053</v>
      </c>
      <c r="K35" s="60">
        <f t="shared" ref="K35:Q35" si="25">K36</f>
        <v>25627546</v>
      </c>
      <c r="L35" s="60">
        <f t="shared" si="25"/>
        <v>17796507</v>
      </c>
      <c r="M35" s="60">
        <f t="shared" si="25"/>
        <v>0</v>
      </c>
      <c r="N35" s="60">
        <f t="shared" si="25"/>
        <v>0</v>
      </c>
      <c r="O35" s="60">
        <f t="shared" si="25"/>
        <v>0</v>
      </c>
      <c r="P35" s="60">
        <f t="shared" si="25"/>
        <v>0</v>
      </c>
      <c r="Q35" s="60">
        <f t="shared" si="25"/>
        <v>0</v>
      </c>
    </row>
    <row r="36" spans="1:17" s="62" customFormat="1" ht="28" customHeight="1" x14ac:dyDescent="0.35">
      <c r="A36" s="214"/>
      <c r="B36" s="215"/>
      <c r="C36" s="63"/>
      <c r="D36" s="64"/>
      <c r="E36" s="64"/>
      <c r="F36" s="66" t="s">
        <v>35</v>
      </c>
      <c r="G36" s="67">
        <f t="shared" si="13"/>
        <v>43424053</v>
      </c>
      <c r="H36" s="67">
        <f t="shared" si="23"/>
        <v>25627546</v>
      </c>
      <c r="I36" s="67">
        <f t="shared" si="23"/>
        <v>17796507</v>
      </c>
      <c r="J36" s="67">
        <f>K36+L36</f>
        <v>43424053</v>
      </c>
      <c r="K36" s="67">
        <f>81117470-26000000-29489924</f>
        <v>25627546</v>
      </c>
      <c r="L36" s="67">
        <f>7900000+9896507</f>
        <v>17796507</v>
      </c>
      <c r="M36" s="68">
        <v>0</v>
      </c>
      <c r="N36" s="67">
        <f>O36+P36</f>
        <v>0</v>
      </c>
      <c r="O36" s="68">
        <v>0</v>
      </c>
      <c r="P36" s="68">
        <v>0</v>
      </c>
      <c r="Q36" s="68">
        <v>0</v>
      </c>
    </row>
    <row r="37" spans="1:17" s="62" customFormat="1" ht="28" customHeight="1" x14ac:dyDescent="0.35">
      <c r="A37" s="214"/>
      <c r="B37" s="215"/>
      <c r="C37" s="60">
        <v>0</v>
      </c>
      <c r="D37" s="60">
        <v>0</v>
      </c>
      <c r="E37" s="60">
        <v>0</v>
      </c>
      <c r="F37" s="61" t="s">
        <v>40</v>
      </c>
      <c r="G37" s="60">
        <f t="shared" si="13"/>
        <v>7367673</v>
      </c>
      <c r="H37" s="60">
        <f t="shared" si="23"/>
        <v>5867673</v>
      </c>
      <c r="I37" s="60">
        <f t="shared" si="23"/>
        <v>1500000</v>
      </c>
      <c r="J37" s="60">
        <f>J38</f>
        <v>7367673</v>
      </c>
      <c r="K37" s="60">
        <f t="shared" ref="K37:Q37" si="26">K38</f>
        <v>5867673</v>
      </c>
      <c r="L37" s="60">
        <f t="shared" si="26"/>
        <v>1500000</v>
      </c>
      <c r="M37" s="60">
        <f t="shared" si="26"/>
        <v>0</v>
      </c>
      <c r="N37" s="60">
        <f t="shared" si="26"/>
        <v>0</v>
      </c>
      <c r="O37" s="60">
        <f t="shared" si="26"/>
        <v>0</v>
      </c>
      <c r="P37" s="60">
        <f t="shared" si="26"/>
        <v>0</v>
      </c>
      <c r="Q37" s="60">
        <f t="shared" si="26"/>
        <v>0</v>
      </c>
    </row>
    <row r="38" spans="1:17" s="62" customFormat="1" ht="28" customHeight="1" x14ac:dyDescent="0.35">
      <c r="A38" s="214"/>
      <c r="B38" s="215"/>
      <c r="C38" s="63"/>
      <c r="D38" s="64"/>
      <c r="E38" s="64"/>
      <c r="F38" s="66" t="s">
        <v>41</v>
      </c>
      <c r="G38" s="67">
        <f t="shared" si="13"/>
        <v>7367673</v>
      </c>
      <c r="H38" s="67">
        <f t="shared" si="23"/>
        <v>5867673</v>
      </c>
      <c r="I38" s="67">
        <f t="shared" si="23"/>
        <v>1500000</v>
      </c>
      <c r="J38" s="67">
        <f>K38+L38</f>
        <v>7367673</v>
      </c>
      <c r="K38" s="67">
        <f>23188554-10000000-3100000-4220881</f>
        <v>5867673</v>
      </c>
      <c r="L38" s="67">
        <v>1500000</v>
      </c>
      <c r="M38" s="68">
        <v>0</v>
      </c>
      <c r="N38" s="67">
        <f>O38+P38</f>
        <v>0</v>
      </c>
      <c r="O38" s="68">
        <v>0</v>
      </c>
      <c r="P38" s="68">
        <v>0</v>
      </c>
      <c r="Q38" s="68">
        <v>0</v>
      </c>
    </row>
    <row r="39" spans="1:17" s="62" customFormat="1" ht="28" customHeight="1" x14ac:dyDescent="0.35">
      <c r="A39" s="214"/>
      <c r="B39" s="215"/>
      <c r="C39" s="60">
        <v>0</v>
      </c>
      <c r="D39" s="60">
        <v>0</v>
      </c>
      <c r="E39" s="60">
        <v>0</v>
      </c>
      <c r="F39" s="61" t="s">
        <v>49</v>
      </c>
      <c r="G39" s="60">
        <f t="shared" si="13"/>
        <v>8493976</v>
      </c>
      <c r="H39" s="60">
        <f t="shared" si="23"/>
        <v>8493976</v>
      </c>
      <c r="I39" s="60">
        <f t="shared" si="23"/>
        <v>0</v>
      </c>
      <c r="J39" s="60">
        <f>J40</f>
        <v>8493976</v>
      </c>
      <c r="K39" s="60">
        <f t="shared" ref="K39:Q39" si="27">K40</f>
        <v>8493976</v>
      </c>
      <c r="L39" s="60">
        <f t="shared" si="27"/>
        <v>0</v>
      </c>
      <c r="M39" s="60">
        <f t="shared" si="27"/>
        <v>0</v>
      </c>
      <c r="N39" s="60">
        <f t="shared" si="27"/>
        <v>0</v>
      </c>
      <c r="O39" s="60">
        <f t="shared" si="27"/>
        <v>0</v>
      </c>
      <c r="P39" s="60">
        <f t="shared" si="27"/>
        <v>0</v>
      </c>
      <c r="Q39" s="60">
        <f t="shared" si="27"/>
        <v>0</v>
      </c>
    </row>
    <row r="40" spans="1:17" s="62" customFormat="1" ht="28" customHeight="1" x14ac:dyDescent="0.35">
      <c r="A40" s="214"/>
      <c r="B40" s="215"/>
      <c r="C40" s="63"/>
      <c r="D40" s="64"/>
      <c r="E40" s="64"/>
      <c r="F40" s="66" t="s">
        <v>50</v>
      </c>
      <c r="G40" s="67">
        <f t="shared" si="13"/>
        <v>8493976</v>
      </c>
      <c r="H40" s="67">
        <f t="shared" si="23"/>
        <v>8493976</v>
      </c>
      <c r="I40" s="67">
        <f t="shared" si="23"/>
        <v>0</v>
      </c>
      <c r="J40" s="67">
        <f>K40+L40</f>
        <v>8493976</v>
      </c>
      <c r="K40" s="67">
        <v>8493976</v>
      </c>
      <c r="L40" s="67">
        <v>0</v>
      </c>
      <c r="M40" s="68">
        <v>0</v>
      </c>
      <c r="N40" s="67">
        <f>O40+P40</f>
        <v>0</v>
      </c>
      <c r="O40" s="68">
        <v>0</v>
      </c>
      <c r="P40" s="68">
        <v>0</v>
      </c>
      <c r="Q40" s="68">
        <v>0</v>
      </c>
    </row>
    <row r="41" spans="1:17" ht="28" customHeight="1" x14ac:dyDescent="0.35">
      <c r="A41" s="214" t="s">
        <v>51</v>
      </c>
      <c r="B41" s="215" t="s">
        <v>52</v>
      </c>
      <c r="C41" s="56">
        <f>C42+C44</f>
        <v>0</v>
      </c>
      <c r="D41" s="57">
        <f>D42+D44</f>
        <v>0</v>
      </c>
      <c r="E41" s="58">
        <f>E42+E44</f>
        <v>0</v>
      </c>
      <c r="F41" s="59" t="s">
        <v>53</v>
      </c>
      <c r="G41" s="58">
        <f t="shared" si="13"/>
        <v>219356916</v>
      </c>
      <c r="H41" s="58">
        <f t="shared" si="23"/>
        <v>193511867</v>
      </c>
      <c r="I41" s="58">
        <f t="shared" si="23"/>
        <v>25845049</v>
      </c>
      <c r="J41" s="58">
        <f>J42+J44</f>
        <v>219356916</v>
      </c>
      <c r="K41" s="58">
        <f t="shared" ref="K41:Q41" si="28">K42+K44</f>
        <v>193511867</v>
      </c>
      <c r="L41" s="58">
        <f t="shared" si="28"/>
        <v>25845049</v>
      </c>
      <c r="M41" s="58">
        <f t="shared" si="28"/>
        <v>0</v>
      </c>
      <c r="N41" s="58">
        <f t="shared" si="28"/>
        <v>0</v>
      </c>
      <c r="O41" s="58">
        <f t="shared" si="28"/>
        <v>0</v>
      </c>
      <c r="P41" s="58">
        <f t="shared" si="28"/>
        <v>0</v>
      </c>
      <c r="Q41" s="58">
        <f t="shared" si="28"/>
        <v>0</v>
      </c>
    </row>
    <row r="42" spans="1:17" s="62" customFormat="1" ht="28" customHeight="1" x14ac:dyDescent="0.35">
      <c r="A42" s="214"/>
      <c r="B42" s="215"/>
      <c r="C42" s="60">
        <v>0</v>
      </c>
      <c r="D42" s="60">
        <v>0</v>
      </c>
      <c r="E42" s="60">
        <v>0</v>
      </c>
      <c r="F42" s="61" t="s">
        <v>34</v>
      </c>
      <c r="G42" s="60">
        <f t="shared" si="13"/>
        <v>101929497</v>
      </c>
      <c r="H42" s="60">
        <f t="shared" si="23"/>
        <v>76084448</v>
      </c>
      <c r="I42" s="60">
        <f t="shared" si="23"/>
        <v>25845049</v>
      </c>
      <c r="J42" s="60">
        <f>J43</f>
        <v>101929497</v>
      </c>
      <c r="K42" s="60">
        <f t="shared" ref="K42:Q42" si="29">K43</f>
        <v>76084448</v>
      </c>
      <c r="L42" s="60">
        <f t="shared" si="29"/>
        <v>25845049</v>
      </c>
      <c r="M42" s="60">
        <f t="shared" si="29"/>
        <v>0</v>
      </c>
      <c r="N42" s="60">
        <f t="shared" si="29"/>
        <v>0</v>
      </c>
      <c r="O42" s="60">
        <f t="shared" si="29"/>
        <v>0</v>
      </c>
      <c r="P42" s="60">
        <f t="shared" si="29"/>
        <v>0</v>
      </c>
      <c r="Q42" s="60">
        <f t="shared" si="29"/>
        <v>0</v>
      </c>
    </row>
    <row r="43" spans="1:17" s="62" customFormat="1" ht="28" customHeight="1" x14ac:dyDescent="0.35">
      <c r="A43" s="214"/>
      <c r="B43" s="215"/>
      <c r="C43" s="63"/>
      <c r="D43" s="64"/>
      <c r="E43" s="64"/>
      <c r="F43" s="66" t="s">
        <v>35</v>
      </c>
      <c r="G43" s="67">
        <f t="shared" si="13"/>
        <v>101929497</v>
      </c>
      <c r="H43" s="67">
        <f t="shared" si="23"/>
        <v>76084448</v>
      </c>
      <c r="I43" s="67">
        <f t="shared" si="23"/>
        <v>25845049</v>
      </c>
      <c r="J43" s="67">
        <f>K43+L43</f>
        <v>101929497</v>
      </c>
      <c r="K43" s="67">
        <f>50400000-43430000+69114448</f>
        <v>76084448</v>
      </c>
      <c r="L43" s="67">
        <f>18000000-7570000+15415049</f>
        <v>25845049</v>
      </c>
      <c r="M43" s="68">
        <v>0</v>
      </c>
      <c r="N43" s="67">
        <f>O43+P43</f>
        <v>0</v>
      </c>
      <c r="O43" s="68">
        <v>0</v>
      </c>
      <c r="P43" s="68">
        <v>0</v>
      </c>
      <c r="Q43" s="68">
        <v>0</v>
      </c>
    </row>
    <row r="44" spans="1:17" s="62" customFormat="1" ht="28" customHeight="1" x14ac:dyDescent="0.35">
      <c r="A44" s="214"/>
      <c r="B44" s="215"/>
      <c r="C44" s="60">
        <v>0</v>
      </c>
      <c r="D44" s="60">
        <v>0</v>
      </c>
      <c r="E44" s="60">
        <v>0</v>
      </c>
      <c r="F44" s="61" t="s">
        <v>49</v>
      </c>
      <c r="G44" s="60">
        <f t="shared" si="13"/>
        <v>117427419</v>
      </c>
      <c r="H44" s="60">
        <f>K44+O44</f>
        <v>117427419</v>
      </c>
      <c r="I44" s="60">
        <f>L44+P44</f>
        <v>0</v>
      </c>
      <c r="J44" s="60">
        <f>J45</f>
        <v>117427419</v>
      </c>
      <c r="K44" s="60">
        <f t="shared" ref="K44:Q44" si="30">K45</f>
        <v>117427419</v>
      </c>
      <c r="L44" s="60">
        <f t="shared" si="30"/>
        <v>0</v>
      </c>
      <c r="M44" s="60">
        <f t="shared" si="30"/>
        <v>0</v>
      </c>
      <c r="N44" s="60">
        <f t="shared" si="30"/>
        <v>0</v>
      </c>
      <c r="O44" s="60">
        <f t="shared" si="30"/>
        <v>0</v>
      </c>
      <c r="P44" s="60">
        <f t="shared" si="30"/>
        <v>0</v>
      </c>
      <c r="Q44" s="60">
        <f t="shared" si="30"/>
        <v>0</v>
      </c>
    </row>
    <row r="45" spans="1:17" s="62" customFormat="1" ht="28" customHeight="1" x14ac:dyDescent="0.35">
      <c r="A45" s="214"/>
      <c r="B45" s="215"/>
      <c r="C45" s="63"/>
      <c r="D45" s="64"/>
      <c r="E45" s="64"/>
      <c r="F45" s="66" t="s">
        <v>50</v>
      </c>
      <c r="G45" s="67">
        <f t="shared" si="13"/>
        <v>117427419</v>
      </c>
      <c r="H45" s="67">
        <f t="shared" ref="H45:I48" si="31">K45+O45</f>
        <v>117427419</v>
      </c>
      <c r="I45" s="67">
        <f t="shared" si="31"/>
        <v>0</v>
      </c>
      <c r="J45" s="67">
        <f>K45+L45</f>
        <v>117427419</v>
      </c>
      <c r="K45" s="67">
        <f>190000000-40000000-32572581</f>
        <v>117427419</v>
      </c>
      <c r="L45" s="67">
        <v>0</v>
      </c>
      <c r="M45" s="68">
        <v>0</v>
      </c>
      <c r="N45" s="67">
        <f>O45+P45</f>
        <v>0</v>
      </c>
      <c r="O45" s="68">
        <v>0</v>
      </c>
      <c r="P45" s="68">
        <v>0</v>
      </c>
      <c r="Q45" s="68">
        <v>0</v>
      </c>
    </row>
    <row r="46" spans="1:17" s="75" customFormat="1" ht="79" customHeight="1" x14ac:dyDescent="0.35">
      <c r="A46" s="50" t="s">
        <v>54</v>
      </c>
      <c r="B46" s="51" t="s">
        <v>55</v>
      </c>
      <c r="C46" s="52">
        <f>C47+C50</f>
        <v>63761008</v>
      </c>
      <c r="D46" s="52">
        <f>D47+D50</f>
        <v>0</v>
      </c>
      <c r="E46" s="53">
        <f>E47+E50</f>
        <v>0</v>
      </c>
      <c r="F46" s="54" t="s">
        <v>56</v>
      </c>
      <c r="G46" s="52">
        <f t="shared" si="13"/>
        <v>272561225</v>
      </c>
      <c r="H46" s="52">
        <f t="shared" si="31"/>
        <v>251577552</v>
      </c>
      <c r="I46" s="52">
        <f t="shared" si="31"/>
        <v>20983673</v>
      </c>
      <c r="J46" s="52">
        <f>J47+J50</f>
        <v>272561225</v>
      </c>
      <c r="K46" s="52">
        <f t="shared" ref="K46:Q46" si="32">K47+K50</f>
        <v>251577552</v>
      </c>
      <c r="L46" s="52">
        <f t="shared" si="32"/>
        <v>20983673</v>
      </c>
      <c r="M46" s="52">
        <f t="shared" si="32"/>
        <v>0</v>
      </c>
      <c r="N46" s="52">
        <f t="shared" si="32"/>
        <v>0</v>
      </c>
      <c r="O46" s="52">
        <f t="shared" si="32"/>
        <v>0</v>
      </c>
      <c r="P46" s="52">
        <f t="shared" si="32"/>
        <v>0</v>
      </c>
      <c r="Q46" s="52">
        <f t="shared" si="32"/>
        <v>0</v>
      </c>
    </row>
    <row r="47" spans="1:17" s="76" customFormat="1" ht="28.5" customHeight="1" x14ac:dyDescent="0.35">
      <c r="A47" s="214" t="s">
        <v>57</v>
      </c>
      <c r="B47" s="215" t="s">
        <v>58</v>
      </c>
      <c r="C47" s="56">
        <f>C48</f>
        <v>0</v>
      </c>
      <c r="D47" s="57">
        <f>D48</f>
        <v>0</v>
      </c>
      <c r="E47" s="58">
        <f>E48</f>
        <v>0</v>
      </c>
      <c r="F47" s="59" t="s">
        <v>59</v>
      </c>
      <c r="G47" s="58">
        <f t="shared" si="13"/>
        <v>188709178</v>
      </c>
      <c r="H47" s="58">
        <f t="shared" si="31"/>
        <v>173036010</v>
      </c>
      <c r="I47" s="58">
        <f t="shared" si="31"/>
        <v>15673168</v>
      </c>
      <c r="J47" s="58">
        <f>J48</f>
        <v>188709178</v>
      </c>
      <c r="K47" s="58">
        <f>K48</f>
        <v>173036010</v>
      </c>
      <c r="L47" s="58">
        <f>L48</f>
        <v>15673168</v>
      </c>
      <c r="M47" s="58">
        <f>M48+M51</f>
        <v>0</v>
      </c>
      <c r="N47" s="58">
        <f>N48+N51</f>
        <v>0</v>
      </c>
      <c r="O47" s="58">
        <f>O48+O51</f>
        <v>0</v>
      </c>
      <c r="P47" s="58">
        <f>P48+P51</f>
        <v>0</v>
      </c>
      <c r="Q47" s="58">
        <f>Q48+Q51</f>
        <v>0</v>
      </c>
    </row>
    <row r="48" spans="1:17" s="76" customFormat="1" ht="28.5" customHeight="1" x14ac:dyDescent="0.35">
      <c r="A48" s="214"/>
      <c r="B48" s="215"/>
      <c r="C48" s="60">
        <v>0</v>
      </c>
      <c r="D48" s="60">
        <v>0</v>
      </c>
      <c r="E48" s="60">
        <v>0</v>
      </c>
      <c r="F48" s="61" t="s">
        <v>36</v>
      </c>
      <c r="G48" s="60">
        <f t="shared" si="13"/>
        <v>188709178</v>
      </c>
      <c r="H48" s="60">
        <f t="shared" si="31"/>
        <v>173036010</v>
      </c>
      <c r="I48" s="60">
        <f t="shared" si="31"/>
        <v>15673168</v>
      </c>
      <c r="J48" s="60">
        <f>J49</f>
        <v>188709178</v>
      </c>
      <c r="K48" s="60">
        <f>J48-L48</f>
        <v>173036010</v>
      </c>
      <c r="L48" s="60">
        <f>L49</f>
        <v>15673168</v>
      </c>
      <c r="M48" s="60">
        <v>0</v>
      </c>
      <c r="N48" s="60">
        <f>O48+P48</f>
        <v>0</v>
      </c>
      <c r="O48" s="77">
        <v>0</v>
      </c>
      <c r="P48" s="77">
        <v>0</v>
      </c>
      <c r="Q48" s="60">
        <v>0</v>
      </c>
    </row>
    <row r="49" spans="1:17" s="76" customFormat="1" ht="28.5" x14ac:dyDescent="0.35">
      <c r="A49" s="214"/>
      <c r="B49" s="215"/>
      <c r="C49" s="63"/>
      <c r="D49" s="19"/>
      <c r="E49" s="64"/>
      <c r="F49" s="66" t="s">
        <v>37</v>
      </c>
      <c r="G49" s="67">
        <f t="shared" si="13"/>
        <v>188709178</v>
      </c>
      <c r="H49" s="67">
        <f>K49+O49</f>
        <v>173036010</v>
      </c>
      <c r="I49" s="67">
        <f>L49+P49</f>
        <v>15673168</v>
      </c>
      <c r="J49" s="67">
        <f>K49+L49</f>
        <v>188709178</v>
      </c>
      <c r="K49" s="67">
        <f>249050000-18660000-42958713-14395277</f>
        <v>173036010</v>
      </c>
      <c r="L49" s="67">
        <f>20000000-1340000-2986832</f>
        <v>15673168</v>
      </c>
      <c r="M49" s="68">
        <f>M48</f>
        <v>0</v>
      </c>
      <c r="N49" s="67">
        <f>O49+P49</f>
        <v>0</v>
      </c>
      <c r="O49" s="68">
        <f>O48</f>
        <v>0</v>
      </c>
      <c r="P49" s="68">
        <f>P48</f>
        <v>0</v>
      </c>
      <c r="Q49" s="68">
        <f>Q48</f>
        <v>0</v>
      </c>
    </row>
    <row r="50" spans="1:17" ht="28.5" x14ac:dyDescent="0.35">
      <c r="A50" s="214" t="s">
        <v>60</v>
      </c>
      <c r="B50" s="215" t="s">
        <v>61</v>
      </c>
      <c r="C50" s="56">
        <f>C51</f>
        <v>63761008</v>
      </c>
      <c r="D50" s="57">
        <f>D51</f>
        <v>0</v>
      </c>
      <c r="E50" s="58">
        <f>E51</f>
        <v>0</v>
      </c>
      <c r="F50" s="59" t="s">
        <v>62</v>
      </c>
      <c r="G50" s="58">
        <f t="shared" si="13"/>
        <v>83852047</v>
      </c>
      <c r="H50" s="58">
        <f t="shared" ref="H50:I53" si="33">K50+O50</f>
        <v>78541542</v>
      </c>
      <c r="I50" s="58">
        <f t="shared" si="33"/>
        <v>5310505</v>
      </c>
      <c r="J50" s="58">
        <f>J51</f>
        <v>83852047</v>
      </c>
      <c r="K50" s="58">
        <f t="shared" ref="K50:Q50" si="34">K51</f>
        <v>78541542</v>
      </c>
      <c r="L50" s="58">
        <f t="shared" si="34"/>
        <v>5310505</v>
      </c>
      <c r="M50" s="58">
        <f t="shared" si="34"/>
        <v>0</v>
      </c>
      <c r="N50" s="58">
        <f t="shared" si="34"/>
        <v>0</v>
      </c>
      <c r="O50" s="58">
        <f t="shared" si="34"/>
        <v>0</v>
      </c>
      <c r="P50" s="58">
        <f t="shared" si="34"/>
        <v>0</v>
      </c>
      <c r="Q50" s="58">
        <f t="shared" si="34"/>
        <v>0</v>
      </c>
    </row>
    <row r="51" spans="1:17" ht="28.5" x14ac:dyDescent="0.35">
      <c r="A51" s="214"/>
      <c r="B51" s="215"/>
      <c r="C51" s="69">
        <f>G53+G54</f>
        <v>63761008</v>
      </c>
      <c r="D51" s="60">
        <v>0</v>
      </c>
      <c r="E51" s="60">
        <v>0</v>
      </c>
      <c r="F51" s="61" t="s">
        <v>36</v>
      </c>
      <c r="G51" s="60">
        <f>J51+M51+N51+Q51</f>
        <v>83852047</v>
      </c>
      <c r="H51" s="60">
        <f t="shared" si="33"/>
        <v>78541542</v>
      </c>
      <c r="I51" s="60">
        <f t="shared" si="33"/>
        <v>5310505</v>
      </c>
      <c r="J51" s="60">
        <f>J52+J53+J54</f>
        <v>83852047</v>
      </c>
      <c r="K51" s="60">
        <f t="shared" ref="K51:Q51" si="35">K52+K53+K54</f>
        <v>78541542</v>
      </c>
      <c r="L51" s="60">
        <f t="shared" si="35"/>
        <v>5310505</v>
      </c>
      <c r="M51" s="60">
        <f t="shared" si="35"/>
        <v>0</v>
      </c>
      <c r="N51" s="60">
        <f t="shared" si="35"/>
        <v>0</v>
      </c>
      <c r="O51" s="60">
        <f t="shared" si="35"/>
        <v>0</v>
      </c>
      <c r="P51" s="60">
        <f t="shared" si="35"/>
        <v>0</v>
      </c>
      <c r="Q51" s="60">
        <f t="shared" si="35"/>
        <v>0</v>
      </c>
    </row>
    <row r="52" spans="1:17" ht="28.5" x14ac:dyDescent="0.35">
      <c r="A52" s="214"/>
      <c r="B52" s="215"/>
      <c r="C52" s="78"/>
      <c r="D52" s="78"/>
      <c r="E52" s="79"/>
      <c r="F52" s="66" t="s">
        <v>37</v>
      </c>
      <c r="G52" s="67">
        <f>J52+M52+N52+Q52</f>
        <v>20091039</v>
      </c>
      <c r="H52" s="67">
        <f t="shared" si="33"/>
        <v>19580534</v>
      </c>
      <c r="I52" s="67">
        <f t="shared" si="33"/>
        <v>510505</v>
      </c>
      <c r="J52" s="67">
        <f>K52+L52</f>
        <v>20091039</v>
      </c>
      <c r="K52" s="67">
        <f>40000000-20419466</f>
        <v>19580534</v>
      </c>
      <c r="L52" s="67">
        <f>1300000-789495</f>
        <v>510505</v>
      </c>
      <c r="M52" s="68">
        <v>0</v>
      </c>
      <c r="N52" s="67">
        <f>O52+P52</f>
        <v>0</v>
      </c>
      <c r="O52" s="68">
        <v>0</v>
      </c>
      <c r="P52" s="68">
        <v>0</v>
      </c>
      <c r="Q52" s="68">
        <v>0</v>
      </c>
    </row>
    <row r="53" spans="1:17" ht="28.5" x14ac:dyDescent="0.35">
      <c r="A53" s="214"/>
      <c r="B53" s="215"/>
      <c r="C53" s="78"/>
      <c r="D53" s="78"/>
      <c r="E53" s="79"/>
      <c r="F53" s="66" t="s">
        <v>38</v>
      </c>
      <c r="G53" s="71">
        <f>J53+M53+N53+Q53</f>
        <v>12790314</v>
      </c>
      <c r="H53" s="71">
        <f t="shared" si="33"/>
        <v>12490314</v>
      </c>
      <c r="I53" s="71">
        <f t="shared" si="33"/>
        <v>300000</v>
      </c>
      <c r="J53" s="71">
        <f>K53+L53</f>
        <v>12790314</v>
      </c>
      <c r="K53" s="71">
        <f>14000000-1256839-600000+425000-77847</f>
        <v>12490314</v>
      </c>
      <c r="L53" s="71">
        <f>1500000-1200000</f>
        <v>300000</v>
      </c>
      <c r="M53" s="71">
        <v>0</v>
      </c>
      <c r="N53" s="71">
        <f>O53+P53</f>
        <v>0</v>
      </c>
      <c r="O53" s="71">
        <v>0</v>
      </c>
      <c r="P53" s="71">
        <v>0</v>
      </c>
      <c r="Q53" s="71">
        <v>0</v>
      </c>
    </row>
    <row r="54" spans="1:17" ht="28.5" x14ac:dyDescent="0.35">
      <c r="A54" s="214"/>
      <c r="B54" s="215"/>
      <c r="C54" s="78"/>
      <c r="D54" s="78"/>
      <c r="E54" s="79"/>
      <c r="F54" s="66" t="s">
        <v>39</v>
      </c>
      <c r="G54" s="71">
        <f>J54+M54+N54+Q54</f>
        <v>50970694</v>
      </c>
      <c r="H54" s="71">
        <f>K54+N54+O54+R54</f>
        <v>46470694</v>
      </c>
      <c r="I54" s="71">
        <f>L54+O54+P54+S54</f>
        <v>4500000</v>
      </c>
      <c r="J54" s="71">
        <f>K54+L54</f>
        <v>50970694</v>
      </c>
      <c r="K54" s="71">
        <f>45000000+508779+2212+607971+2643+5539+813235+4623+1366403+5941+17276+896842+786546+3420+3063+1119360+4867+1143015+4970+45446-425000-4308059-2450499+1312101</f>
        <v>46470694</v>
      </c>
      <c r="L54" s="71">
        <v>4500000</v>
      </c>
      <c r="M54" s="71">
        <v>0</v>
      </c>
      <c r="N54" s="71">
        <f>O54+P54</f>
        <v>0</v>
      </c>
      <c r="O54" s="71">
        <v>0</v>
      </c>
      <c r="P54" s="71">
        <v>0</v>
      </c>
      <c r="Q54" s="71">
        <v>0</v>
      </c>
    </row>
    <row r="55" spans="1:17" s="55" customFormat="1" ht="78" x14ac:dyDescent="0.35">
      <c r="A55" s="50" t="s">
        <v>63</v>
      </c>
      <c r="B55" s="51" t="s">
        <v>64</v>
      </c>
      <c r="C55" s="52">
        <f>C56+C60+C63</f>
        <v>0</v>
      </c>
      <c r="D55" s="52">
        <f>D56+D60+D63</f>
        <v>0</v>
      </c>
      <c r="E55" s="53">
        <f>E56+E60+E63</f>
        <v>111000000</v>
      </c>
      <c r="F55" s="54" t="s">
        <v>65</v>
      </c>
      <c r="G55" s="52">
        <f t="shared" ref="G55:I76" si="36">J55+M55+N55+Q55</f>
        <v>136795236</v>
      </c>
      <c r="H55" s="52">
        <f t="shared" si="36"/>
        <v>121900201</v>
      </c>
      <c r="I55" s="52">
        <f t="shared" si="36"/>
        <v>14895035</v>
      </c>
      <c r="J55" s="52">
        <f>J56+J60+J63</f>
        <v>136795236</v>
      </c>
      <c r="K55" s="52">
        <f t="shared" ref="K55:Q55" si="37">K56+K60+K63</f>
        <v>121900201</v>
      </c>
      <c r="L55" s="52">
        <f t="shared" si="37"/>
        <v>14895035</v>
      </c>
      <c r="M55" s="52">
        <f t="shared" si="37"/>
        <v>0</v>
      </c>
      <c r="N55" s="52">
        <f t="shared" si="37"/>
        <v>0</v>
      </c>
      <c r="O55" s="52">
        <f t="shared" si="37"/>
        <v>0</v>
      </c>
      <c r="P55" s="52">
        <f t="shared" si="37"/>
        <v>0</v>
      </c>
      <c r="Q55" s="52">
        <f t="shared" si="37"/>
        <v>0</v>
      </c>
    </row>
    <row r="56" spans="1:17" ht="28.5" x14ac:dyDescent="0.35">
      <c r="A56" s="214" t="s">
        <v>66</v>
      </c>
      <c r="B56" s="215" t="s">
        <v>67</v>
      </c>
      <c r="C56" s="56">
        <f>C57</f>
        <v>0</v>
      </c>
      <c r="D56" s="57">
        <f>D57</f>
        <v>0</v>
      </c>
      <c r="E56" s="58">
        <f>E57</f>
        <v>111000000</v>
      </c>
      <c r="F56" s="59" t="s">
        <v>68</v>
      </c>
      <c r="G56" s="58">
        <f t="shared" si="36"/>
        <v>120020629</v>
      </c>
      <c r="H56" s="58">
        <f t="shared" si="36"/>
        <v>108022684</v>
      </c>
      <c r="I56" s="58">
        <f t="shared" si="36"/>
        <v>11997945</v>
      </c>
      <c r="J56" s="58">
        <f>J57</f>
        <v>120020629</v>
      </c>
      <c r="K56" s="58">
        <f t="shared" ref="K56:Q56" si="38">K57</f>
        <v>108022684</v>
      </c>
      <c r="L56" s="58">
        <f t="shared" si="38"/>
        <v>11997945</v>
      </c>
      <c r="M56" s="58">
        <f t="shared" si="38"/>
        <v>0</v>
      </c>
      <c r="N56" s="58">
        <f t="shared" si="38"/>
        <v>0</v>
      </c>
      <c r="O56" s="58">
        <f t="shared" si="38"/>
        <v>0</v>
      </c>
      <c r="P56" s="58">
        <f t="shared" si="38"/>
        <v>0</v>
      </c>
      <c r="Q56" s="58">
        <f t="shared" si="38"/>
        <v>0</v>
      </c>
    </row>
    <row r="57" spans="1:17" ht="28.5" x14ac:dyDescent="0.35">
      <c r="A57" s="214"/>
      <c r="B57" s="215"/>
      <c r="C57" s="60">
        <v>0</v>
      </c>
      <c r="D57" s="60">
        <v>0</v>
      </c>
      <c r="E57" s="72">
        <f>G59</f>
        <v>111000000</v>
      </c>
      <c r="F57" s="61" t="s">
        <v>40</v>
      </c>
      <c r="G57" s="60">
        <f t="shared" si="36"/>
        <v>120020629</v>
      </c>
      <c r="H57" s="60">
        <f t="shared" si="36"/>
        <v>108022684</v>
      </c>
      <c r="I57" s="60">
        <f t="shared" si="36"/>
        <v>11997945</v>
      </c>
      <c r="J57" s="60">
        <f>J58+J59</f>
        <v>120020629</v>
      </c>
      <c r="K57" s="60">
        <f t="shared" ref="K57:Q57" si="39">K58+K59</f>
        <v>108022684</v>
      </c>
      <c r="L57" s="60">
        <f t="shared" si="39"/>
        <v>11997945</v>
      </c>
      <c r="M57" s="60">
        <f t="shared" si="39"/>
        <v>0</v>
      </c>
      <c r="N57" s="60">
        <f t="shared" si="39"/>
        <v>0</v>
      </c>
      <c r="O57" s="60">
        <f t="shared" si="39"/>
        <v>0</v>
      </c>
      <c r="P57" s="60">
        <f t="shared" si="39"/>
        <v>0</v>
      </c>
      <c r="Q57" s="60">
        <f t="shared" si="39"/>
        <v>0</v>
      </c>
    </row>
    <row r="58" spans="1:17" ht="28.5" x14ac:dyDescent="0.35">
      <c r="A58" s="214"/>
      <c r="B58" s="215"/>
      <c r="C58" s="63"/>
      <c r="D58" s="78"/>
      <c r="E58" s="19"/>
      <c r="F58" s="66" t="s">
        <v>41</v>
      </c>
      <c r="G58" s="67">
        <f t="shared" si="36"/>
        <v>9020629</v>
      </c>
      <c r="H58" s="67">
        <f t="shared" si="36"/>
        <v>7522684</v>
      </c>
      <c r="I58" s="67">
        <f t="shared" si="36"/>
        <v>1497945</v>
      </c>
      <c r="J58" s="67">
        <f>K58+L58</f>
        <v>9020629</v>
      </c>
      <c r="K58" s="67">
        <f>18384426+53000000-63861742</f>
        <v>7522684</v>
      </c>
      <c r="L58" s="67">
        <f>3915574-2417629</f>
        <v>1497945</v>
      </c>
      <c r="M58" s="68">
        <v>0</v>
      </c>
      <c r="N58" s="68">
        <f>O58+P58</f>
        <v>0</v>
      </c>
      <c r="O58" s="68">
        <v>0</v>
      </c>
      <c r="P58" s="68">
        <v>0</v>
      </c>
      <c r="Q58" s="68">
        <v>0</v>
      </c>
    </row>
    <row r="59" spans="1:17" ht="28.5" x14ac:dyDescent="0.35">
      <c r="A59" s="214"/>
      <c r="B59" s="215"/>
      <c r="C59" s="63"/>
      <c r="D59" s="78"/>
      <c r="E59" s="19"/>
      <c r="F59" s="66" t="s">
        <v>42</v>
      </c>
      <c r="G59" s="74">
        <f t="shared" si="36"/>
        <v>111000000</v>
      </c>
      <c r="H59" s="74">
        <f t="shared" si="36"/>
        <v>100500000</v>
      </c>
      <c r="I59" s="74">
        <f t="shared" si="36"/>
        <v>10500000</v>
      </c>
      <c r="J59" s="74">
        <f>K59+L59</f>
        <v>111000000</v>
      </c>
      <c r="K59" s="74">
        <f>153500000-53000000</f>
        <v>100500000</v>
      </c>
      <c r="L59" s="74">
        <v>10500000</v>
      </c>
      <c r="M59" s="74">
        <v>0</v>
      </c>
      <c r="N59" s="74">
        <f>O59+P59</f>
        <v>0</v>
      </c>
      <c r="O59" s="74">
        <v>0</v>
      </c>
      <c r="P59" s="74">
        <v>0</v>
      </c>
      <c r="Q59" s="74">
        <v>0</v>
      </c>
    </row>
    <row r="60" spans="1:17" ht="28.5" x14ac:dyDescent="0.35">
      <c r="A60" s="214" t="s">
        <v>69</v>
      </c>
      <c r="B60" s="215" t="s">
        <v>70</v>
      </c>
      <c r="C60" s="56">
        <f>C61</f>
        <v>0</v>
      </c>
      <c r="D60" s="57">
        <f>D61</f>
        <v>0</v>
      </c>
      <c r="E60" s="58">
        <f>E61</f>
        <v>0</v>
      </c>
      <c r="F60" s="59" t="s">
        <v>71</v>
      </c>
      <c r="G60" s="58">
        <f t="shared" si="36"/>
        <v>15895236</v>
      </c>
      <c r="H60" s="58">
        <f t="shared" si="36"/>
        <v>13090194</v>
      </c>
      <c r="I60" s="58">
        <f t="shared" si="36"/>
        <v>2805042</v>
      </c>
      <c r="J60" s="58">
        <f>J61</f>
        <v>15895236</v>
      </c>
      <c r="K60" s="58">
        <f t="shared" ref="K60:Q61" si="40">K61</f>
        <v>13090194</v>
      </c>
      <c r="L60" s="58">
        <f t="shared" si="40"/>
        <v>2805042</v>
      </c>
      <c r="M60" s="58">
        <f t="shared" si="40"/>
        <v>0</v>
      </c>
      <c r="N60" s="58">
        <f t="shared" si="40"/>
        <v>0</v>
      </c>
      <c r="O60" s="58">
        <f t="shared" si="40"/>
        <v>0</v>
      </c>
      <c r="P60" s="58">
        <f t="shared" si="40"/>
        <v>0</v>
      </c>
      <c r="Q60" s="58">
        <f t="shared" si="40"/>
        <v>0</v>
      </c>
    </row>
    <row r="61" spans="1:17" ht="28.5" x14ac:dyDescent="0.35">
      <c r="A61" s="214"/>
      <c r="B61" s="215"/>
      <c r="C61" s="60">
        <v>0</v>
      </c>
      <c r="D61" s="60">
        <v>0</v>
      </c>
      <c r="E61" s="60">
        <v>0</v>
      </c>
      <c r="F61" s="61" t="s">
        <v>40</v>
      </c>
      <c r="G61" s="60">
        <f t="shared" si="36"/>
        <v>15895236</v>
      </c>
      <c r="H61" s="60">
        <f t="shared" si="36"/>
        <v>13090194</v>
      </c>
      <c r="I61" s="60">
        <f t="shared" si="36"/>
        <v>2805042</v>
      </c>
      <c r="J61" s="60">
        <f>J62</f>
        <v>15895236</v>
      </c>
      <c r="K61" s="60">
        <f t="shared" si="40"/>
        <v>13090194</v>
      </c>
      <c r="L61" s="60">
        <f t="shared" si="40"/>
        <v>2805042</v>
      </c>
      <c r="M61" s="60">
        <f t="shared" si="40"/>
        <v>0</v>
      </c>
      <c r="N61" s="60">
        <f t="shared" si="40"/>
        <v>0</v>
      </c>
      <c r="O61" s="60">
        <f t="shared" si="40"/>
        <v>0</v>
      </c>
      <c r="P61" s="60">
        <f t="shared" si="40"/>
        <v>0</v>
      </c>
      <c r="Q61" s="60">
        <f t="shared" si="40"/>
        <v>0</v>
      </c>
    </row>
    <row r="62" spans="1:17" ht="28.5" x14ac:dyDescent="0.35">
      <c r="A62" s="214"/>
      <c r="B62" s="215"/>
      <c r="C62" s="63"/>
      <c r="D62" s="78"/>
      <c r="E62" s="19"/>
      <c r="F62" s="66" t="s">
        <v>41</v>
      </c>
      <c r="G62" s="67">
        <f t="shared" si="36"/>
        <v>15895236</v>
      </c>
      <c r="H62" s="67">
        <f t="shared" si="36"/>
        <v>13090194</v>
      </c>
      <c r="I62" s="67">
        <f t="shared" si="36"/>
        <v>2805042</v>
      </c>
      <c r="J62" s="67">
        <f>K62+L62</f>
        <v>15895236</v>
      </c>
      <c r="K62" s="67">
        <f>14000000-909806</f>
        <v>13090194</v>
      </c>
      <c r="L62" s="67">
        <f>3000000-194958</f>
        <v>2805042</v>
      </c>
      <c r="M62" s="68">
        <v>0</v>
      </c>
      <c r="N62" s="68">
        <f>O62+P62</f>
        <v>0</v>
      </c>
      <c r="O62" s="68">
        <v>0</v>
      </c>
      <c r="P62" s="68">
        <v>0</v>
      </c>
      <c r="Q62" s="68">
        <v>0</v>
      </c>
    </row>
    <row r="63" spans="1:17" ht="28.5" x14ac:dyDescent="0.35">
      <c r="A63" s="214" t="s">
        <v>72</v>
      </c>
      <c r="B63" s="215" t="s">
        <v>73</v>
      </c>
      <c r="C63" s="56">
        <f>C64</f>
        <v>0</v>
      </c>
      <c r="D63" s="57">
        <f>D64</f>
        <v>0</v>
      </c>
      <c r="E63" s="58">
        <f>E64</f>
        <v>0</v>
      </c>
      <c r="F63" s="59" t="s">
        <v>74</v>
      </c>
      <c r="G63" s="58">
        <f t="shared" si="36"/>
        <v>879371</v>
      </c>
      <c r="H63" s="58">
        <f t="shared" si="36"/>
        <v>787323</v>
      </c>
      <c r="I63" s="58">
        <f t="shared" si="36"/>
        <v>92048</v>
      </c>
      <c r="J63" s="58">
        <f>J64</f>
        <v>879371</v>
      </c>
      <c r="K63" s="58">
        <f t="shared" ref="K63:Q64" si="41">K64</f>
        <v>787323</v>
      </c>
      <c r="L63" s="58">
        <f t="shared" si="41"/>
        <v>92048</v>
      </c>
      <c r="M63" s="58">
        <f t="shared" si="41"/>
        <v>0</v>
      </c>
      <c r="N63" s="58">
        <f t="shared" si="41"/>
        <v>0</v>
      </c>
      <c r="O63" s="58">
        <f t="shared" si="41"/>
        <v>0</v>
      </c>
      <c r="P63" s="58">
        <f t="shared" si="41"/>
        <v>0</v>
      </c>
      <c r="Q63" s="58">
        <f t="shared" si="41"/>
        <v>0</v>
      </c>
    </row>
    <row r="64" spans="1:17" ht="28.5" x14ac:dyDescent="0.35">
      <c r="A64" s="214"/>
      <c r="B64" s="215"/>
      <c r="C64" s="60">
        <v>0</v>
      </c>
      <c r="D64" s="60">
        <v>0</v>
      </c>
      <c r="E64" s="60">
        <v>0</v>
      </c>
      <c r="F64" s="61" t="s">
        <v>40</v>
      </c>
      <c r="G64" s="60">
        <f t="shared" si="36"/>
        <v>879371</v>
      </c>
      <c r="H64" s="60">
        <f t="shared" si="36"/>
        <v>787323</v>
      </c>
      <c r="I64" s="60">
        <f t="shared" si="36"/>
        <v>92048</v>
      </c>
      <c r="J64" s="60">
        <f>J65</f>
        <v>879371</v>
      </c>
      <c r="K64" s="60">
        <f t="shared" si="41"/>
        <v>787323</v>
      </c>
      <c r="L64" s="60">
        <f t="shared" si="41"/>
        <v>92048</v>
      </c>
      <c r="M64" s="60">
        <f t="shared" si="41"/>
        <v>0</v>
      </c>
      <c r="N64" s="60">
        <f t="shared" si="41"/>
        <v>0</v>
      </c>
      <c r="O64" s="60">
        <f t="shared" si="41"/>
        <v>0</v>
      </c>
      <c r="P64" s="60">
        <f t="shared" si="41"/>
        <v>0</v>
      </c>
      <c r="Q64" s="60">
        <f t="shared" si="41"/>
        <v>0</v>
      </c>
    </row>
    <row r="65" spans="1:17" ht="28.5" x14ac:dyDescent="0.35">
      <c r="A65" s="214"/>
      <c r="B65" s="215"/>
      <c r="C65" s="63"/>
      <c r="D65" s="78"/>
      <c r="E65" s="19"/>
      <c r="F65" s="66" t="s">
        <v>41</v>
      </c>
      <c r="G65" s="67">
        <f t="shared" si="36"/>
        <v>879371</v>
      </c>
      <c r="H65" s="67">
        <f t="shared" si="36"/>
        <v>787323</v>
      </c>
      <c r="I65" s="67">
        <f t="shared" si="36"/>
        <v>92048</v>
      </c>
      <c r="J65" s="67">
        <f>K65+L65</f>
        <v>879371</v>
      </c>
      <c r="K65" s="67">
        <f>7500000-6712677</f>
        <v>787323</v>
      </c>
      <c r="L65" s="67">
        <f>2000000-1907952</f>
        <v>92048</v>
      </c>
      <c r="M65" s="68">
        <v>0</v>
      </c>
      <c r="N65" s="68">
        <f>O65+P65</f>
        <v>0</v>
      </c>
      <c r="O65" s="68">
        <v>0</v>
      </c>
      <c r="P65" s="68">
        <v>0</v>
      </c>
      <c r="Q65" s="68">
        <v>0</v>
      </c>
    </row>
    <row r="66" spans="1:17" s="75" customFormat="1" ht="52" x14ac:dyDescent="0.35">
      <c r="A66" s="50" t="s">
        <v>75</v>
      </c>
      <c r="B66" s="51" t="s">
        <v>76</v>
      </c>
      <c r="C66" s="52">
        <f>C67+C74</f>
        <v>62103080</v>
      </c>
      <c r="D66" s="52">
        <f>D67+D74</f>
        <v>0</v>
      </c>
      <c r="E66" s="53">
        <f>E67+E74</f>
        <v>0</v>
      </c>
      <c r="F66" s="54" t="s">
        <v>77</v>
      </c>
      <c r="G66" s="52">
        <f t="shared" si="36"/>
        <v>195455775</v>
      </c>
      <c r="H66" s="52">
        <f t="shared" si="36"/>
        <v>171725218</v>
      </c>
      <c r="I66" s="52">
        <f t="shared" si="36"/>
        <v>23730557</v>
      </c>
      <c r="J66" s="52">
        <f>J67+J74</f>
        <v>195455775</v>
      </c>
      <c r="K66" s="52">
        <f t="shared" ref="K66:Q66" si="42">K67+K74</f>
        <v>171725218</v>
      </c>
      <c r="L66" s="52">
        <f t="shared" si="42"/>
        <v>23730557</v>
      </c>
      <c r="M66" s="52">
        <f t="shared" si="42"/>
        <v>0</v>
      </c>
      <c r="N66" s="52">
        <f t="shared" si="42"/>
        <v>0</v>
      </c>
      <c r="O66" s="52">
        <f t="shared" si="42"/>
        <v>0</v>
      </c>
      <c r="P66" s="52">
        <f t="shared" si="42"/>
        <v>0</v>
      </c>
      <c r="Q66" s="52">
        <f t="shared" si="42"/>
        <v>0</v>
      </c>
    </row>
    <row r="67" spans="1:17" ht="28.5" customHeight="1" x14ac:dyDescent="0.35">
      <c r="A67" s="214" t="s">
        <v>78</v>
      </c>
      <c r="B67" s="215" t="s">
        <v>79</v>
      </c>
      <c r="C67" s="56">
        <f>C68+C70</f>
        <v>62103080</v>
      </c>
      <c r="D67" s="57">
        <f>D68+D70</f>
        <v>0</v>
      </c>
      <c r="E67" s="58">
        <f>E68+E70</f>
        <v>0</v>
      </c>
      <c r="F67" s="59" t="s">
        <v>80</v>
      </c>
      <c r="G67" s="58">
        <f t="shared" si="36"/>
        <v>173870681</v>
      </c>
      <c r="H67" s="58">
        <f t="shared" si="36"/>
        <v>155767681</v>
      </c>
      <c r="I67" s="58">
        <f t="shared" si="36"/>
        <v>18103000</v>
      </c>
      <c r="J67" s="58">
        <f>J68+J70</f>
        <v>173870681</v>
      </c>
      <c r="K67" s="58">
        <f>K68+K70</f>
        <v>155767681</v>
      </c>
      <c r="L67" s="58">
        <f>L68+L70</f>
        <v>18103000</v>
      </c>
      <c r="M67" s="58">
        <f>SUM(M68:M70)</f>
        <v>0</v>
      </c>
      <c r="N67" s="58">
        <f>SUM(N68:N70)</f>
        <v>0</v>
      </c>
      <c r="O67" s="58">
        <f>O68+O70</f>
        <v>0</v>
      </c>
      <c r="P67" s="58">
        <f>P68+P70</f>
        <v>0</v>
      </c>
      <c r="Q67" s="58">
        <v>0</v>
      </c>
    </row>
    <row r="68" spans="1:17" ht="28.5" x14ac:dyDescent="0.35">
      <c r="A68" s="214"/>
      <c r="B68" s="215"/>
      <c r="C68" s="60">
        <v>0</v>
      </c>
      <c r="D68" s="60">
        <v>0</v>
      </c>
      <c r="E68" s="60">
        <v>0</v>
      </c>
      <c r="F68" s="61" t="s">
        <v>34</v>
      </c>
      <c r="G68" s="60">
        <f t="shared" si="36"/>
        <v>111767601</v>
      </c>
      <c r="H68" s="60">
        <f t="shared" si="36"/>
        <v>104864601</v>
      </c>
      <c r="I68" s="60">
        <f t="shared" si="36"/>
        <v>6903000</v>
      </c>
      <c r="J68" s="60">
        <f>J69</f>
        <v>111767601</v>
      </c>
      <c r="K68" s="60">
        <f t="shared" ref="K68:Q68" si="43">K69</f>
        <v>104864601</v>
      </c>
      <c r="L68" s="60">
        <f t="shared" si="43"/>
        <v>6903000</v>
      </c>
      <c r="M68" s="60">
        <f t="shared" si="43"/>
        <v>0</v>
      </c>
      <c r="N68" s="60">
        <f t="shared" si="43"/>
        <v>0</v>
      </c>
      <c r="O68" s="60">
        <f t="shared" si="43"/>
        <v>0</v>
      </c>
      <c r="P68" s="60">
        <f t="shared" si="43"/>
        <v>0</v>
      </c>
      <c r="Q68" s="60">
        <f t="shared" si="43"/>
        <v>0</v>
      </c>
    </row>
    <row r="69" spans="1:17" ht="28.5" x14ac:dyDescent="0.35">
      <c r="A69" s="214"/>
      <c r="B69" s="215"/>
      <c r="C69" s="80"/>
      <c r="D69" s="64"/>
      <c r="E69" s="64"/>
      <c r="F69" s="66" t="s">
        <v>35</v>
      </c>
      <c r="G69" s="67">
        <f t="shared" si="36"/>
        <v>111767601</v>
      </c>
      <c r="H69" s="67">
        <f t="shared" si="36"/>
        <v>104864601</v>
      </c>
      <c r="I69" s="67">
        <f t="shared" si="36"/>
        <v>6903000</v>
      </c>
      <c r="J69" s="67">
        <f>K69+L69</f>
        <v>111767601</v>
      </c>
      <c r="K69" s="67">
        <f>138100000-16435399-16800000</f>
        <v>104864601</v>
      </c>
      <c r="L69" s="67">
        <f>9000000-3597000+1500000</f>
        <v>6903000</v>
      </c>
      <c r="M69" s="68">
        <v>0</v>
      </c>
      <c r="N69" s="68">
        <f>O69+P69</f>
        <v>0</v>
      </c>
      <c r="O69" s="68">
        <v>0</v>
      </c>
      <c r="P69" s="68">
        <v>0</v>
      </c>
      <c r="Q69" s="68">
        <v>0</v>
      </c>
    </row>
    <row r="70" spans="1:17" ht="28.5" x14ac:dyDescent="0.35">
      <c r="A70" s="214"/>
      <c r="B70" s="215"/>
      <c r="C70" s="69">
        <f>G72+G73</f>
        <v>62103080</v>
      </c>
      <c r="D70" s="60">
        <v>0</v>
      </c>
      <c r="E70" s="60">
        <v>0</v>
      </c>
      <c r="F70" s="61" t="s">
        <v>36</v>
      </c>
      <c r="G70" s="60">
        <f t="shared" si="36"/>
        <v>62103080</v>
      </c>
      <c r="H70" s="60">
        <f t="shared" si="36"/>
        <v>50903080</v>
      </c>
      <c r="I70" s="60">
        <f t="shared" si="36"/>
        <v>11200000</v>
      </c>
      <c r="J70" s="60">
        <f>J71+J72+J73</f>
        <v>62103080</v>
      </c>
      <c r="K70" s="60">
        <f t="shared" ref="K70:Q70" si="44">K71+K72+K73</f>
        <v>50903080</v>
      </c>
      <c r="L70" s="60">
        <f t="shared" si="44"/>
        <v>11200000</v>
      </c>
      <c r="M70" s="60">
        <f t="shared" si="44"/>
        <v>0</v>
      </c>
      <c r="N70" s="60">
        <f t="shared" si="44"/>
        <v>0</v>
      </c>
      <c r="O70" s="60">
        <f t="shared" si="44"/>
        <v>0</v>
      </c>
      <c r="P70" s="60">
        <f t="shared" si="44"/>
        <v>0</v>
      </c>
      <c r="Q70" s="60">
        <f t="shared" si="44"/>
        <v>0</v>
      </c>
    </row>
    <row r="71" spans="1:17" ht="28.5" x14ac:dyDescent="0.35">
      <c r="A71" s="214"/>
      <c r="B71" s="215"/>
      <c r="C71" s="79"/>
      <c r="D71" s="64"/>
      <c r="E71" s="64"/>
      <c r="F71" s="66" t="s">
        <v>37</v>
      </c>
      <c r="G71" s="67">
        <f t="shared" si="36"/>
        <v>0</v>
      </c>
      <c r="H71" s="67">
        <f t="shared" si="36"/>
        <v>0</v>
      </c>
      <c r="I71" s="67">
        <f t="shared" si="36"/>
        <v>0</v>
      </c>
      <c r="J71" s="67">
        <f>K71+L71</f>
        <v>0</v>
      </c>
      <c r="K71" s="67">
        <v>0</v>
      </c>
      <c r="L71" s="67">
        <v>0</v>
      </c>
      <c r="M71" s="68">
        <v>0</v>
      </c>
      <c r="N71" s="68">
        <f>O71+P71</f>
        <v>0</v>
      </c>
      <c r="O71" s="68">
        <v>0</v>
      </c>
      <c r="P71" s="68">
        <v>0</v>
      </c>
      <c r="Q71" s="68">
        <v>0</v>
      </c>
    </row>
    <row r="72" spans="1:17" ht="28.5" x14ac:dyDescent="0.35">
      <c r="A72" s="214"/>
      <c r="B72" s="215"/>
      <c r="C72" s="79"/>
      <c r="D72" s="64"/>
      <c r="E72" s="64"/>
      <c r="F72" s="66" t="s">
        <v>38</v>
      </c>
      <c r="G72" s="71">
        <f t="shared" si="36"/>
        <v>62103080</v>
      </c>
      <c r="H72" s="71">
        <f t="shared" si="36"/>
        <v>50903080</v>
      </c>
      <c r="I72" s="71">
        <f t="shared" si="36"/>
        <v>11200000</v>
      </c>
      <c r="J72" s="71">
        <f>K72+L72</f>
        <v>62103080</v>
      </c>
      <c r="K72" s="71">
        <f>29900000+3838559+1256839+1000000+600000+6805114+2200000-2862225+8164793</f>
        <v>50903080</v>
      </c>
      <c r="L72" s="71">
        <f>10000000+1200000</f>
        <v>11200000</v>
      </c>
      <c r="M72" s="71">
        <v>0</v>
      </c>
      <c r="N72" s="71">
        <f>O72+P72</f>
        <v>0</v>
      </c>
      <c r="O72" s="71">
        <v>0</v>
      </c>
      <c r="P72" s="71">
        <v>0</v>
      </c>
      <c r="Q72" s="71">
        <v>0</v>
      </c>
    </row>
    <row r="73" spans="1:17" ht="28.5" x14ac:dyDescent="0.35">
      <c r="A73" s="214"/>
      <c r="B73" s="215"/>
      <c r="C73" s="79"/>
      <c r="D73" s="64"/>
      <c r="E73" s="64"/>
      <c r="F73" s="66" t="s">
        <v>39</v>
      </c>
      <c r="G73" s="71">
        <f t="shared" si="36"/>
        <v>0</v>
      </c>
      <c r="H73" s="71">
        <f t="shared" si="36"/>
        <v>0</v>
      </c>
      <c r="I73" s="71">
        <f t="shared" si="36"/>
        <v>0</v>
      </c>
      <c r="J73" s="71">
        <f>K73+L73</f>
        <v>0</v>
      </c>
      <c r="K73" s="71">
        <f>100000-2212-2643-5539-4623-5941-17276-3420-3063-4867-4970-45446</f>
        <v>0</v>
      </c>
      <c r="L73" s="71">
        <v>0</v>
      </c>
      <c r="M73" s="71">
        <v>0</v>
      </c>
      <c r="N73" s="71">
        <f>O73+P73</f>
        <v>0</v>
      </c>
      <c r="O73" s="71">
        <v>0</v>
      </c>
      <c r="P73" s="71">
        <v>0</v>
      </c>
      <c r="Q73" s="71">
        <v>0</v>
      </c>
    </row>
    <row r="74" spans="1:17" s="76" customFormat="1" ht="28" customHeight="1" x14ac:dyDescent="0.35">
      <c r="A74" s="214" t="s">
        <v>81</v>
      </c>
      <c r="B74" s="215" t="s">
        <v>82</v>
      </c>
      <c r="C74" s="56">
        <f>C75</f>
        <v>0</v>
      </c>
      <c r="D74" s="57">
        <f>D75</f>
        <v>0</v>
      </c>
      <c r="E74" s="58">
        <f>E75</f>
        <v>0</v>
      </c>
      <c r="F74" s="59" t="s">
        <v>83</v>
      </c>
      <c r="G74" s="58">
        <f t="shared" si="36"/>
        <v>21585094</v>
      </c>
      <c r="H74" s="58">
        <f t="shared" si="36"/>
        <v>15957537</v>
      </c>
      <c r="I74" s="58">
        <f t="shared" si="36"/>
        <v>5627557</v>
      </c>
      <c r="J74" s="58">
        <f>J75</f>
        <v>21585094</v>
      </c>
      <c r="K74" s="58">
        <f t="shared" ref="K74:Q75" si="45">K75</f>
        <v>15957537</v>
      </c>
      <c r="L74" s="58">
        <f t="shared" si="45"/>
        <v>5627557</v>
      </c>
      <c r="M74" s="58">
        <f t="shared" si="45"/>
        <v>0</v>
      </c>
      <c r="N74" s="58">
        <f t="shared" si="45"/>
        <v>0</v>
      </c>
      <c r="O74" s="58">
        <f t="shared" si="45"/>
        <v>0</v>
      </c>
      <c r="P74" s="58">
        <f t="shared" si="45"/>
        <v>0</v>
      </c>
      <c r="Q74" s="58">
        <f t="shared" si="45"/>
        <v>0</v>
      </c>
    </row>
    <row r="75" spans="1:17" s="76" customFormat="1" ht="28" customHeight="1" x14ac:dyDescent="0.35">
      <c r="A75" s="214"/>
      <c r="B75" s="215"/>
      <c r="C75" s="60">
        <v>0</v>
      </c>
      <c r="D75" s="60">
        <v>0</v>
      </c>
      <c r="E75" s="60">
        <v>0</v>
      </c>
      <c r="F75" s="61" t="s">
        <v>36</v>
      </c>
      <c r="G75" s="60">
        <f t="shared" si="36"/>
        <v>21585094</v>
      </c>
      <c r="H75" s="60">
        <f t="shared" si="36"/>
        <v>15957537</v>
      </c>
      <c r="I75" s="60">
        <f t="shared" si="36"/>
        <v>5627557</v>
      </c>
      <c r="J75" s="60">
        <f>J76</f>
        <v>21585094</v>
      </c>
      <c r="K75" s="60">
        <f t="shared" si="45"/>
        <v>15957537</v>
      </c>
      <c r="L75" s="60">
        <f t="shared" si="45"/>
        <v>5627557</v>
      </c>
      <c r="M75" s="60">
        <f t="shared" si="45"/>
        <v>0</v>
      </c>
      <c r="N75" s="60">
        <f t="shared" si="45"/>
        <v>0</v>
      </c>
      <c r="O75" s="60">
        <f t="shared" si="45"/>
        <v>0</v>
      </c>
      <c r="P75" s="60">
        <f t="shared" si="45"/>
        <v>0</v>
      </c>
      <c r="Q75" s="60">
        <f t="shared" si="45"/>
        <v>0</v>
      </c>
    </row>
    <row r="76" spans="1:17" s="76" customFormat="1" ht="28" customHeight="1" x14ac:dyDescent="0.35">
      <c r="A76" s="214"/>
      <c r="B76" s="215"/>
      <c r="C76" s="79"/>
      <c r="D76" s="81"/>
      <c r="E76" s="64"/>
      <c r="F76" s="66" t="s">
        <v>37</v>
      </c>
      <c r="G76" s="67">
        <f t="shared" si="36"/>
        <v>21585094</v>
      </c>
      <c r="H76" s="67">
        <f t="shared" si="36"/>
        <v>15957537</v>
      </c>
      <c r="I76" s="67">
        <f t="shared" si="36"/>
        <v>5627557</v>
      </c>
      <c r="J76" s="67">
        <f>K76+L76</f>
        <v>21585094</v>
      </c>
      <c r="K76" s="67">
        <f>23300000-3737740-3604723</f>
        <v>15957537</v>
      </c>
      <c r="L76" s="67">
        <f>6700000-1072443</f>
        <v>5627557</v>
      </c>
      <c r="M76" s="68">
        <v>0</v>
      </c>
      <c r="N76" s="68">
        <f>O76+P76</f>
        <v>0</v>
      </c>
      <c r="O76" s="68">
        <v>0</v>
      </c>
      <c r="P76" s="68">
        <v>0</v>
      </c>
      <c r="Q76" s="68">
        <v>0</v>
      </c>
    </row>
    <row r="77" spans="1:17" s="83" customFormat="1" ht="28" customHeight="1" x14ac:dyDescent="0.35">
      <c r="A77" s="45" t="s">
        <v>84</v>
      </c>
      <c r="B77" s="46" t="s">
        <v>85</v>
      </c>
      <c r="C77" s="47">
        <f>C78</f>
        <v>0</v>
      </c>
      <c r="D77" s="47">
        <f>D78</f>
        <v>0</v>
      </c>
      <c r="E77" s="48">
        <f>E78</f>
        <v>0</v>
      </c>
      <c r="F77" s="82"/>
      <c r="G77" s="48">
        <f>G78</f>
        <v>23709407</v>
      </c>
      <c r="H77" s="48">
        <f t="shared" ref="H77:Q80" si="46">H78</f>
        <v>22118240</v>
      </c>
      <c r="I77" s="48">
        <f t="shared" si="46"/>
        <v>1591167</v>
      </c>
      <c r="J77" s="48">
        <f t="shared" si="46"/>
        <v>23709407</v>
      </c>
      <c r="K77" s="48">
        <f t="shared" si="46"/>
        <v>22118240</v>
      </c>
      <c r="L77" s="48">
        <f t="shared" si="46"/>
        <v>1591167</v>
      </c>
      <c r="M77" s="48">
        <f t="shared" si="46"/>
        <v>0</v>
      </c>
      <c r="N77" s="48">
        <f t="shared" si="46"/>
        <v>0</v>
      </c>
      <c r="O77" s="48">
        <f t="shared" si="46"/>
        <v>0</v>
      </c>
      <c r="P77" s="48">
        <f t="shared" si="46"/>
        <v>0</v>
      </c>
      <c r="Q77" s="48">
        <f t="shared" si="46"/>
        <v>0</v>
      </c>
    </row>
    <row r="78" spans="1:17" s="84" customFormat="1" ht="28.5" x14ac:dyDescent="0.35">
      <c r="A78" s="50" t="s">
        <v>86</v>
      </c>
      <c r="B78" s="51" t="s">
        <v>87</v>
      </c>
      <c r="C78" s="52">
        <f>C79</f>
        <v>0</v>
      </c>
      <c r="D78" s="52">
        <f>D80</f>
        <v>0</v>
      </c>
      <c r="E78" s="53">
        <f>E80</f>
        <v>0</v>
      </c>
      <c r="F78" s="54" t="s">
        <v>88</v>
      </c>
      <c r="G78" s="52">
        <f>J78+M78+N78+Q78</f>
        <v>23709407</v>
      </c>
      <c r="H78" s="52">
        <f t="shared" ref="H78:I81" si="47">K78+O78</f>
        <v>22118240</v>
      </c>
      <c r="I78" s="52">
        <f t="shared" si="47"/>
        <v>1591167</v>
      </c>
      <c r="J78" s="52">
        <f>J79</f>
        <v>23709407</v>
      </c>
      <c r="K78" s="52">
        <f t="shared" si="46"/>
        <v>22118240</v>
      </c>
      <c r="L78" s="52">
        <f t="shared" si="46"/>
        <v>1591167</v>
      </c>
      <c r="M78" s="52">
        <f t="shared" si="46"/>
        <v>0</v>
      </c>
      <c r="N78" s="52">
        <f t="shared" si="46"/>
        <v>0</v>
      </c>
      <c r="O78" s="52">
        <f t="shared" si="46"/>
        <v>0</v>
      </c>
      <c r="P78" s="52">
        <f t="shared" si="46"/>
        <v>0</v>
      </c>
      <c r="Q78" s="52">
        <f t="shared" si="46"/>
        <v>0</v>
      </c>
    </row>
    <row r="79" spans="1:17" s="84" customFormat="1" ht="28" customHeight="1" x14ac:dyDescent="0.35">
      <c r="A79" s="214" t="s">
        <v>89</v>
      </c>
      <c r="B79" s="215" t="s">
        <v>90</v>
      </c>
      <c r="C79" s="56">
        <f>C80</f>
        <v>0</v>
      </c>
      <c r="D79" s="57">
        <f>D80</f>
        <v>0</v>
      </c>
      <c r="E79" s="58">
        <f>E80</f>
        <v>0</v>
      </c>
      <c r="F79" s="59" t="s">
        <v>91</v>
      </c>
      <c r="G79" s="58">
        <f>J79+M79+N79+Q79</f>
        <v>23709407</v>
      </c>
      <c r="H79" s="58">
        <f t="shared" si="47"/>
        <v>22118240</v>
      </c>
      <c r="I79" s="58">
        <f t="shared" si="47"/>
        <v>1591167</v>
      </c>
      <c r="J79" s="58">
        <f>J80</f>
        <v>23709407</v>
      </c>
      <c r="K79" s="58">
        <f t="shared" si="46"/>
        <v>22118240</v>
      </c>
      <c r="L79" s="58">
        <f t="shared" si="46"/>
        <v>1591167</v>
      </c>
      <c r="M79" s="58">
        <f t="shared" si="46"/>
        <v>0</v>
      </c>
      <c r="N79" s="58">
        <f t="shared" si="46"/>
        <v>0</v>
      </c>
      <c r="O79" s="58">
        <f t="shared" si="46"/>
        <v>0</v>
      </c>
      <c r="P79" s="58">
        <f t="shared" si="46"/>
        <v>0</v>
      </c>
      <c r="Q79" s="58">
        <f t="shared" si="46"/>
        <v>0</v>
      </c>
    </row>
    <row r="80" spans="1:17" s="76" customFormat="1" ht="28" customHeight="1" x14ac:dyDescent="0.35">
      <c r="A80" s="214"/>
      <c r="B80" s="215"/>
      <c r="C80" s="60">
        <v>0</v>
      </c>
      <c r="D80" s="60">
        <v>0</v>
      </c>
      <c r="E80" s="60">
        <v>0</v>
      </c>
      <c r="F80" s="61" t="s">
        <v>36</v>
      </c>
      <c r="G80" s="60">
        <f>J80+M80+N80+Q80</f>
        <v>23709407</v>
      </c>
      <c r="H80" s="60">
        <f t="shared" si="47"/>
        <v>22118240</v>
      </c>
      <c r="I80" s="60">
        <f t="shared" si="47"/>
        <v>1591167</v>
      </c>
      <c r="J80" s="60">
        <f>J81</f>
        <v>23709407</v>
      </c>
      <c r="K80" s="60">
        <f t="shared" si="46"/>
        <v>22118240</v>
      </c>
      <c r="L80" s="60">
        <f t="shared" si="46"/>
        <v>1591167</v>
      </c>
      <c r="M80" s="60">
        <f t="shared" si="46"/>
        <v>0</v>
      </c>
      <c r="N80" s="60">
        <f t="shared" si="46"/>
        <v>0</v>
      </c>
      <c r="O80" s="60">
        <f t="shared" si="46"/>
        <v>0</v>
      </c>
      <c r="P80" s="60">
        <f t="shared" si="46"/>
        <v>0</v>
      </c>
      <c r="Q80" s="60">
        <f t="shared" si="46"/>
        <v>0</v>
      </c>
    </row>
    <row r="81" spans="1:17" s="76" customFormat="1" ht="28" customHeight="1" x14ac:dyDescent="0.35">
      <c r="A81" s="214"/>
      <c r="B81" s="215"/>
      <c r="C81" s="63"/>
      <c r="D81" s="19"/>
      <c r="E81" s="19"/>
      <c r="F81" s="66" t="s">
        <v>37</v>
      </c>
      <c r="G81" s="67">
        <f>J81+M81+N81+Q81</f>
        <v>23709407</v>
      </c>
      <c r="H81" s="67">
        <f t="shared" si="47"/>
        <v>22118240</v>
      </c>
      <c r="I81" s="67">
        <f t="shared" si="47"/>
        <v>1591167</v>
      </c>
      <c r="J81" s="67">
        <f>K81+L81</f>
        <v>23709407</v>
      </c>
      <c r="K81" s="67">
        <f>107100000-84981760</f>
        <v>22118240</v>
      </c>
      <c r="L81" s="67">
        <f>5000000-3408833</f>
        <v>1591167</v>
      </c>
      <c r="M81" s="68">
        <v>0</v>
      </c>
      <c r="N81" s="68">
        <f>O81+P81</f>
        <v>0</v>
      </c>
      <c r="O81" s="68">
        <v>0</v>
      </c>
      <c r="P81" s="68">
        <v>0</v>
      </c>
      <c r="Q81" s="68">
        <v>0</v>
      </c>
    </row>
    <row r="82" spans="1:17" ht="28" customHeight="1" x14ac:dyDescent="0.35">
      <c r="A82" s="45" t="s">
        <v>92</v>
      </c>
      <c r="B82" s="46" t="s">
        <v>93</v>
      </c>
      <c r="C82" s="47">
        <f>C83</f>
        <v>0</v>
      </c>
      <c r="D82" s="47">
        <f>D83</f>
        <v>0</v>
      </c>
      <c r="E82" s="48">
        <f>E83</f>
        <v>0</v>
      </c>
      <c r="F82" s="49"/>
      <c r="G82" s="48">
        <f t="shared" ref="G82:Q82" si="48">G83</f>
        <v>231782399</v>
      </c>
      <c r="H82" s="48">
        <f t="shared" si="48"/>
        <v>217275399</v>
      </c>
      <c r="I82" s="48">
        <f t="shared" si="48"/>
        <v>14507000</v>
      </c>
      <c r="J82" s="48">
        <f t="shared" si="48"/>
        <v>231782399</v>
      </c>
      <c r="K82" s="48">
        <f t="shared" si="48"/>
        <v>217275399</v>
      </c>
      <c r="L82" s="48">
        <f t="shared" si="48"/>
        <v>14507000</v>
      </c>
      <c r="M82" s="48">
        <f t="shared" si="48"/>
        <v>0</v>
      </c>
      <c r="N82" s="48">
        <f t="shared" si="48"/>
        <v>0</v>
      </c>
      <c r="O82" s="48">
        <f t="shared" si="48"/>
        <v>0</v>
      </c>
      <c r="P82" s="48">
        <f t="shared" si="48"/>
        <v>0</v>
      </c>
      <c r="Q82" s="48">
        <f t="shared" si="48"/>
        <v>0</v>
      </c>
    </row>
    <row r="83" spans="1:17" ht="28.5" x14ac:dyDescent="0.35">
      <c r="A83" s="228" t="s">
        <v>94</v>
      </c>
      <c r="B83" s="231" t="s">
        <v>95</v>
      </c>
      <c r="C83" s="52">
        <f>C84+C86+C88+C90</f>
        <v>0</v>
      </c>
      <c r="D83" s="52">
        <f t="shared" ref="D83:E83" si="49">D84+D86+D88+D90</f>
        <v>0</v>
      </c>
      <c r="E83" s="53">
        <f t="shared" si="49"/>
        <v>0</v>
      </c>
      <c r="F83" s="54" t="s">
        <v>96</v>
      </c>
      <c r="G83" s="52">
        <f t="shared" ref="G83:G91" si="50">J83+M83+N83+Q83</f>
        <v>231782399</v>
      </c>
      <c r="H83" s="52">
        <f t="shared" ref="H83:I91" si="51">K83+O83</f>
        <v>217275399</v>
      </c>
      <c r="I83" s="52">
        <f t="shared" si="51"/>
        <v>14507000</v>
      </c>
      <c r="J83" s="52">
        <f t="shared" ref="J83:Q83" si="52">J84+J86+J88+J90</f>
        <v>231782399</v>
      </c>
      <c r="K83" s="52">
        <f t="shared" si="52"/>
        <v>217275399</v>
      </c>
      <c r="L83" s="52">
        <f t="shared" si="52"/>
        <v>14507000</v>
      </c>
      <c r="M83" s="52">
        <f t="shared" si="52"/>
        <v>0</v>
      </c>
      <c r="N83" s="52">
        <f t="shared" si="52"/>
        <v>0</v>
      </c>
      <c r="O83" s="52">
        <f t="shared" si="52"/>
        <v>0</v>
      </c>
      <c r="P83" s="52">
        <f t="shared" si="52"/>
        <v>0</v>
      </c>
      <c r="Q83" s="52">
        <f t="shared" si="52"/>
        <v>0</v>
      </c>
    </row>
    <row r="84" spans="1:17" ht="28.5" x14ac:dyDescent="0.35">
      <c r="A84" s="229"/>
      <c r="B84" s="232"/>
      <c r="C84" s="60">
        <v>0</v>
      </c>
      <c r="D84" s="60">
        <v>0</v>
      </c>
      <c r="E84" s="60">
        <v>0</v>
      </c>
      <c r="F84" s="85" t="s">
        <v>40</v>
      </c>
      <c r="G84" s="60">
        <f t="shared" si="50"/>
        <v>55750000</v>
      </c>
      <c r="H84" s="60">
        <f t="shared" si="51"/>
        <v>55750000</v>
      </c>
      <c r="I84" s="60">
        <f t="shared" si="51"/>
        <v>0</v>
      </c>
      <c r="J84" s="60">
        <f t="shared" ref="J84:P84" si="53">J85</f>
        <v>55750000</v>
      </c>
      <c r="K84" s="60">
        <f t="shared" si="53"/>
        <v>55750000</v>
      </c>
      <c r="L84" s="60">
        <f t="shared" si="53"/>
        <v>0</v>
      </c>
      <c r="M84" s="60">
        <f t="shared" si="53"/>
        <v>0</v>
      </c>
      <c r="N84" s="60">
        <f t="shared" si="53"/>
        <v>0</v>
      </c>
      <c r="O84" s="60">
        <f t="shared" si="53"/>
        <v>0</v>
      </c>
      <c r="P84" s="60">
        <f t="shared" si="53"/>
        <v>0</v>
      </c>
      <c r="Q84" s="60">
        <f>Q85</f>
        <v>0</v>
      </c>
    </row>
    <row r="85" spans="1:17" ht="28.5" x14ac:dyDescent="0.35">
      <c r="A85" s="229"/>
      <c r="B85" s="232"/>
      <c r="C85" s="63"/>
      <c r="D85" s="19"/>
      <c r="E85" s="19"/>
      <c r="F85" s="66" t="s">
        <v>41</v>
      </c>
      <c r="G85" s="67">
        <f t="shared" si="50"/>
        <v>55750000</v>
      </c>
      <c r="H85" s="67">
        <f t="shared" si="51"/>
        <v>55750000</v>
      </c>
      <c r="I85" s="67">
        <f t="shared" si="51"/>
        <v>0</v>
      </c>
      <c r="J85" s="67">
        <f>K85+L85</f>
        <v>55750000</v>
      </c>
      <c r="K85" s="67">
        <f>25000000+20750000+5000000+5000000</f>
        <v>55750000</v>
      </c>
      <c r="L85" s="67">
        <v>0</v>
      </c>
      <c r="M85" s="68">
        <v>0</v>
      </c>
      <c r="N85" s="68">
        <f>O85+P85</f>
        <v>0</v>
      </c>
      <c r="O85" s="68">
        <v>0</v>
      </c>
      <c r="P85" s="68">
        <v>0</v>
      </c>
      <c r="Q85" s="68">
        <v>0</v>
      </c>
    </row>
    <row r="86" spans="1:17" ht="28.5" x14ac:dyDescent="0.35">
      <c r="A86" s="229"/>
      <c r="B86" s="232"/>
      <c r="C86" s="60">
        <v>0</v>
      </c>
      <c r="D86" s="60">
        <v>0</v>
      </c>
      <c r="E86" s="60">
        <v>0</v>
      </c>
      <c r="F86" s="85" t="s">
        <v>34</v>
      </c>
      <c r="G86" s="60">
        <f t="shared" si="50"/>
        <v>116032399</v>
      </c>
      <c r="H86" s="60">
        <f t="shared" si="51"/>
        <v>102865399</v>
      </c>
      <c r="I86" s="60">
        <f t="shared" si="51"/>
        <v>13167000</v>
      </c>
      <c r="J86" s="60">
        <f>J87</f>
        <v>116032399</v>
      </c>
      <c r="K86" s="60">
        <f t="shared" ref="K86:Q86" si="54">K87</f>
        <v>102865399</v>
      </c>
      <c r="L86" s="60">
        <f t="shared" si="54"/>
        <v>13167000</v>
      </c>
      <c r="M86" s="60">
        <f t="shared" si="54"/>
        <v>0</v>
      </c>
      <c r="N86" s="60">
        <f t="shared" si="54"/>
        <v>0</v>
      </c>
      <c r="O86" s="60">
        <f t="shared" si="54"/>
        <v>0</v>
      </c>
      <c r="P86" s="60">
        <f t="shared" si="54"/>
        <v>0</v>
      </c>
      <c r="Q86" s="60">
        <f t="shared" si="54"/>
        <v>0</v>
      </c>
    </row>
    <row r="87" spans="1:17" ht="28" customHeight="1" x14ac:dyDescent="0.35">
      <c r="A87" s="229"/>
      <c r="B87" s="232"/>
      <c r="C87" s="63"/>
      <c r="D87" s="19"/>
      <c r="E87" s="19"/>
      <c r="F87" s="66" t="s">
        <v>35</v>
      </c>
      <c r="G87" s="67">
        <f t="shared" si="50"/>
        <v>116032399</v>
      </c>
      <c r="H87" s="67">
        <f t="shared" si="51"/>
        <v>102865399</v>
      </c>
      <c r="I87" s="67">
        <f t="shared" si="51"/>
        <v>13167000</v>
      </c>
      <c r="J87" s="67">
        <f>K87+L87</f>
        <v>116032399</v>
      </c>
      <c r="K87" s="67">
        <f>26000000+43430000+16435399+17000000</f>
        <v>102865399</v>
      </c>
      <c r="L87" s="67">
        <f>7570000+3597000+2000000</f>
        <v>13167000</v>
      </c>
      <c r="M87" s="68">
        <v>0</v>
      </c>
      <c r="N87" s="68">
        <f>O87+P87</f>
        <v>0</v>
      </c>
      <c r="O87" s="68">
        <v>0</v>
      </c>
      <c r="P87" s="68">
        <v>0</v>
      </c>
      <c r="Q87" s="68">
        <v>0</v>
      </c>
    </row>
    <row r="88" spans="1:17" ht="28" customHeight="1" x14ac:dyDescent="0.35">
      <c r="A88" s="229"/>
      <c r="B88" s="232"/>
      <c r="C88" s="60">
        <v>0</v>
      </c>
      <c r="D88" s="60">
        <v>0</v>
      </c>
      <c r="E88" s="60">
        <v>0</v>
      </c>
      <c r="F88" s="85" t="s">
        <v>49</v>
      </c>
      <c r="G88" s="60">
        <f t="shared" si="50"/>
        <v>40000000</v>
      </c>
      <c r="H88" s="60">
        <f t="shared" si="51"/>
        <v>40000000</v>
      </c>
      <c r="I88" s="60">
        <f t="shared" si="51"/>
        <v>0</v>
      </c>
      <c r="J88" s="60">
        <f>J89</f>
        <v>40000000</v>
      </c>
      <c r="K88" s="60">
        <f t="shared" ref="K88:Q88" si="55">K89</f>
        <v>40000000</v>
      </c>
      <c r="L88" s="60">
        <f t="shared" si="55"/>
        <v>0</v>
      </c>
      <c r="M88" s="60">
        <f t="shared" si="55"/>
        <v>0</v>
      </c>
      <c r="N88" s="60">
        <f t="shared" si="55"/>
        <v>0</v>
      </c>
      <c r="O88" s="60">
        <f t="shared" si="55"/>
        <v>0</v>
      </c>
      <c r="P88" s="60">
        <f t="shared" si="55"/>
        <v>0</v>
      </c>
      <c r="Q88" s="60">
        <f t="shared" si="55"/>
        <v>0</v>
      </c>
    </row>
    <row r="89" spans="1:17" ht="28" customHeight="1" x14ac:dyDescent="0.35">
      <c r="A89" s="229"/>
      <c r="B89" s="232"/>
      <c r="C89" s="63"/>
      <c r="D89" s="19"/>
      <c r="E89" s="19"/>
      <c r="F89" s="66" t="s">
        <v>50</v>
      </c>
      <c r="G89" s="67">
        <f t="shared" si="50"/>
        <v>40000000</v>
      </c>
      <c r="H89" s="67">
        <f t="shared" si="51"/>
        <v>40000000</v>
      </c>
      <c r="I89" s="67">
        <f t="shared" si="51"/>
        <v>0</v>
      </c>
      <c r="J89" s="67">
        <f>K89+L89</f>
        <v>40000000</v>
      </c>
      <c r="K89" s="67">
        <f>40000000</f>
        <v>40000000</v>
      </c>
      <c r="L89" s="67">
        <v>0</v>
      </c>
      <c r="M89" s="68">
        <v>0</v>
      </c>
      <c r="N89" s="68">
        <f>O89+P89</f>
        <v>0</v>
      </c>
      <c r="O89" s="68">
        <v>0</v>
      </c>
      <c r="P89" s="68">
        <v>0</v>
      </c>
      <c r="Q89" s="68">
        <v>0</v>
      </c>
    </row>
    <row r="90" spans="1:17" ht="28" customHeight="1" x14ac:dyDescent="0.35">
      <c r="A90" s="229"/>
      <c r="B90" s="232"/>
      <c r="C90" s="60">
        <v>0</v>
      </c>
      <c r="D90" s="60">
        <v>0</v>
      </c>
      <c r="E90" s="60">
        <v>0</v>
      </c>
      <c r="F90" s="85" t="s">
        <v>36</v>
      </c>
      <c r="G90" s="60">
        <f t="shared" si="50"/>
        <v>20000000</v>
      </c>
      <c r="H90" s="60">
        <f t="shared" si="51"/>
        <v>18660000</v>
      </c>
      <c r="I90" s="60">
        <f t="shared" si="51"/>
        <v>1340000</v>
      </c>
      <c r="J90" s="60">
        <f>J91</f>
        <v>20000000</v>
      </c>
      <c r="K90" s="60">
        <f t="shared" ref="K90:Q90" si="56">K91</f>
        <v>18660000</v>
      </c>
      <c r="L90" s="60">
        <f t="shared" si="56"/>
        <v>1340000</v>
      </c>
      <c r="M90" s="60">
        <f t="shared" si="56"/>
        <v>0</v>
      </c>
      <c r="N90" s="60">
        <f t="shared" si="56"/>
        <v>0</v>
      </c>
      <c r="O90" s="60">
        <f t="shared" si="56"/>
        <v>0</v>
      </c>
      <c r="P90" s="60">
        <f t="shared" si="56"/>
        <v>0</v>
      </c>
      <c r="Q90" s="60">
        <f t="shared" si="56"/>
        <v>0</v>
      </c>
    </row>
    <row r="91" spans="1:17" ht="28" customHeight="1" x14ac:dyDescent="0.35">
      <c r="A91" s="230"/>
      <c r="B91" s="233"/>
      <c r="C91" s="63"/>
      <c r="D91" s="19"/>
      <c r="E91" s="19"/>
      <c r="F91" s="66" t="s">
        <v>37</v>
      </c>
      <c r="G91" s="67">
        <f t="shared" si="50"/>
        <v>20000000</v>
      </c>
      <c r="H91" s="67">
        <f t="shared" si="51"/>
        <v>18660000</v>
      </c>
      <c r="I91" s="67">
        <f t="shared" si="51"/>
        <v>1340000</v>
      </c>
      <c r="J91" s="67">
        <f>K91+L91</f>
        <v>20000000</v>
      </c>
      <c r="K91" s="67">
        <f>18660000</f>
        <v>18660000</v>
      </c>
      <c r="L91" s="67">
        <v>1340000</v>
      </c>
      <c r="M91" s="68">
        <v>0</v>
      </c>
      <c r="N91" s="68">
        <f>O91+P91</f>
        <v>0</v>
      </c>
      <c r="O91" s="68">
        <v>0</v>
      </c>
      <c r="P91" s="68">
        <v>0</v>
      </c>
      <c r="Q91" s="68">
        <v>0</v>
      </c>
    </row>
    <row r="92" spans="1:17" ht="28" customHeight="1" x14ac:dyDescent="0.35">
      <c r="A92" s="45" t="s">
        <v>751</v>
      </c>
      <c r="B92" s="46" t="s">
        <v>752</v>
      </c>
      <c r="C92" s="47">
        <f>C93</f>
        <v>0</v>
      </c>
      <c r="D92" s="47">
        <f t="shared" ref="D92:E92" si="57">D93</f>
        <v>0</v>
      </c>
      <c r="E92" s="47">
        <f t="shared" si="57"/>
        <v>0</v>
      </c>
      <c r="F92" s="49"/>
      <c r="G92" s="48">
        <f t="shared" ref="G92:Q92" si="58">G93</f>
        <v>84155689</v>
      </c>
      <c r="H92" s="48">
        <f t="shared" si="58"/>
        <v>58795405</v>
      </c>
      <c r="I92" s="48">
        <f t="shared" si="58"/>
        <v>25360284</v>
      </c>
      <c r="J92" s="48">
        <f t="shared" si="58"/>
        <v>84155689</v>
      </c>
      <c r="K92" s="48">
        <f t="shared" si="58"/>
        <v>58795405</v>
      </c>
      <c r="L92" s="48">
        <f t="shared" si="58"/>
        <v>25360284</v>
      </c>
      <c r="M92" s="48">
        <f t="shared" si="58"/>
        <v>0</v>
      </c>
      <c r="N92" s="48">
        <f t="shared" si="58"/>
        <v>0</v>
      </c>
      <c r="O92" s="48">
        <f t="shared" si="58"/>
        <v>0</v>
      </c>
      <c r="P92" s="48">
        <f t="shared" si="58"/>
        <v>0</v>
      </c>
      <c r="Q92" s="48">
        <f t="shared" si="58"/>
        <v>0</v>
      </c>
    </row>
    <row r="93" spans="1:17" ht="28" customHeight="1" x14ac:dyDescent="0.35">
      <c r="A93" s="228" t="s">
        <v>94</v>
      </c>
      <c r="B93" s="231" t="s">
        <v>807</v>
      </c>
      <c r="C93" s="52">
        <f>C94+C96+C98</f>
        <v>0</v>
      </c>
      <c r="D93" s="52">
        <f t="shared" ref="D93:E93" si="59">D94+D96+D98</f>
        <v>0</v>
      </c>
      <c r="E93" s="52">
        <f t="shared" si="59"/>
        <v>0</v>
      </c>
      <c r="F93" s="54" t="s">
        <v>96</v>
      </c>
      <c r="G93" s="52">
        <f t="shared" ref="G93:G99" si="60">J93+M93+N93+Q93</f>
        <v>84155689</v>
      </c>
      <c r="H93" s="52">
        <f t="shared" ref="H93:I99" si="61">K93+O93</f>
        <v>58795405</v>
      </c>
      <c r="I93" s="52">
        <f t="shared" si="61"/>
        <v>25360284</v>
      </c>
      <c r="J93" s="52">
        <f>J94+J96+J98</f>
        <v>84155689</v>
      </c>
      <c r="K93" s="52">
        <f t="shared" ref="K93:Q93" si="62">K94+K96+K98</f>
        <v>58795405</v>
      </c>
      <c r="L93" s="52">
        <f t="shared" si="62"/>
        <v>25360284</v>
      </c>
      <c r="M93" s="52">
        <f t="shared" si="62"/>
        <v>0</v>
      </c>
      <c r="N93" s="52">
        <f t="shared" si="62"/>
        <v>0</v>
      </c>
      <c r="O93" s="52">
        <f t="shared" si="62"/>
        <v>0</v>
      </c>
      <c r="P93" s="52">
        <f t="shared" si="62"/>
        <v>0</v>
      </c>
      <c r="Q93" s="52">
        <f t="shared" si="62"/>
        <v>0</v>
      </c>
    </row>
    <row r="94" spans="1:17" ht="28" customHeight="1" x14ac:dyDescent="0.35">
      <c r="A94" s="229"/>
      <c r="B94" s="232"/>
      <c r="C94" s="60">
        <v>0</v>
      </c>
      <c r="D94" s="60">
        <v>0</v>
      </c>
      <c r="E94" s="60">
        <v>0</v>
      </c>
      <c r="F94" s="85" t="s">
        <v>40</v>
      </c>
      <c r="G94" s="60">
        <f t="shared" si="60"/>
        <v>30000000</v>
      </c>
      <c r="H94" s="60">
        <f t="shared" si="61"/>
        <v>20479461</v>
      </c>
      <c r="I94" s="60">
        <f t="shared" si="61"/>
        <v>9520539</v>
      </c>
      <c r="J94" s="60">
        <f t="shared" ref="J94:P94" si="63">J95</f>
        <v>30000000</v>
      </c>
      <c r="K94" s="60">
        <f t="shared" si="63"/>
        <v>20479461</v>
      </c>
      <c r="L94" s="60">
        <f t="shared" si="63"/>
        <v>9520539</v>
      </c>
      <c r="M94" s="60">
        <f t="shared" si="63"/>
        <v>0</v>
      </c>
      <c r="N94" s="60">
        <f t="shared" si="63"/>
        <v>0</v>
      </c>
      <c r="O94" s="60">
        <f t="shared" si="63"/>
        <v>0</v>
      </c>
      <c r="P94" s="60">
        <f t="shared" si="63"/>
        <v>0</v>
      </c>
      <c r="Q94" s="60">
        <f>Q95</f>
        <v>0</v>
      </c>
    </row>
    <row r="95" spans="1:17" ht="28" customHeight="1" x14ac:dyDescent="0.35">
      <c r="A95" s="229"/>
      <c r="B95" s="232"/>
      <c r="C95" s="199"/>
      <c r="D95" s="200"/>
      <c r="E95" s="200"/>
      <c r="F95" s="66" t="s">
        <v>41</v>
      </c>
      <c r="G95" s="67">
        <f t="shared" si="60"/>
        <v>30000000</v>
      </c>
      <c r="H95" s="67">
        <f t="shared" si="61"/>
        <v>20479461</v>
      </c>
      <c r="I95" s="67">
        <f t="shared" si="61"/>
        <v>9520539</v>
      </c>
      <c r="J95" s="67">
        <f>K95+L95</f>
        <v>30000000</v>
      </c>
      <c r="K95" s="67">
        <f>3100000+10666784+6712677</f>
        <v>20479461</v>
      </c>
      <c r="L95" s="67">
        <f>5000000+2417629+194958+1907952</f>
        <v>9520539</v>
      </c>
      <c r="M95" s="68">
        <v>0</v>
      </c>
      <c r="N95" s="68">
        <f>O95+P95</f>
        <v>0</v>
      </c>
      <c r="O95" s="68">
        <v>0</v>
      </c>
      <c r="P95" s="68">
        <v>0</v>
      </c>
      <c r="Q95" s="68">
        <v>0</v>
      </c>
    </row>
    <row r="96" spans="1:17" ht="28" customHeight="1" x14ac:dyDescent="0.35">
      <c r="A96" s="229"/>
      <c r="B96" s="232"/>
      <c r="C96" s="60">
        <v>0</v>
      </c>
      <c r="D96" s="60">
        <v>0</v>
      </c>
      <c r="E96" s="60">
        <v>0</v>
      </c>
      <c r="F96" s="85" t="s">
        <v>34</v>
      </c>
      <c r="G96" s="60">
        <f t="shared" si="60"/>
        <v>22000000</v>
      </c>
      <c r="H96" s="60">
        <f t="shared" si="61"/>
        <v>18160255</v>
      </c>
      <c r="I96" s="60">
        <f t="shared" si="61"/>
        <v>3839745</v>
      </c>
      <c r="J96" s="60">
        <f>J97</f>
        <v>22000000</v>
      </c>
      <c r="K96" s="60">
        <f t="shared" ref="K96:Q96" si="64">K97</f>
        <v>18160255</v>
      </c>
      <c r="L96" s="60">
        <f t="shared" si="64"/>
        <v>3839745</v>
      </c>
      <c r="M96" s="60">
        <f t="shared" si="64"/>
        <v>0</v>
      </c>
      <c r="N96" s="60">
        <f t="shared" si="64"/>
        <v>0</v>
      </c>
      <c r="O96" s="60">
        <f t="shared" si="64"/>
        <v>0</v>
      </c>
      <c r="P96" s="60">
        <f t="shared" si="64"/>
        <v>0</v>
      </c>
      <c r="Q96" s="60">
        <f t="shared" si="64"/>
        <v>0</v>
      </c>
    </row>
    <row r="97" spans="1:22" ht="28" customHeight="1" x14ac:dyDescent="0.35">
      <c r="A97" s="229"/>
      <c r="B97" s="232"/>
      <c r="C97" s="199"/>
      <c r="D97" s="200"/>
      <c r="E97" s="200"/>
      <c r="F97" s="66" t="s">
        <v>35</v>
      </c>
      <c r="G97" s="67">
        <f t="shared" si="60"/>
        <v>22000000</v>
      </c>
      <c r="H97" s="67">
        <f t="shared" si="61"/>
        <v>18160255</v>
      </c>
      <c r="I97" s="67">
        <f t="shared" si="61"/>
        <v>3839745</v>
      </c>
      <c r="J97" s="67">
        <f>K97+L97</f>
        <v>22000000</v>
      </c>
      <c r="K97" s="67">
        <f>1360255+16800000</f>
        <v>18160255</v>
      </c>
      <c r="L97" s="67">
        <v>3839745</v>
      </c>
      <c r="M97" s="68">
        <v>0</v>
      </c>
      <c r="N97" s="68">
        <f>O97+P97</f>
        <v>0</v>
      </c>
      <c r="O97" s="68">
        <v>0</v>
      </c>
      <c r="P97" s="68">
        <v>0</v>
      </c>
      <c r="Q97" s="68">
        <v>0</v>
      </c>
    </row>
    <row r="98" spans="1:22" ht="28" customHeight="1" x14ac:dyDescent="0.35">
      <c r="A98" s="229"/>
      <c r="B98" s="232"/>
      <c r="C98" s="60">
        <v>0</v>
      </c>
      <c r="D98" s="60">
        <v>0</v>
      </c>
      <c r="E98" s="60">
        <v>0</v>
      </c>
      <c r="F98" s="85" t="s">
        <v>49</v>
      </c>
      <c r="G98" s="60">
        <f t="shared" si="60"/>
        <v>32155689</v>
      </c>
      <c r="H98" s="60">
        <f t="shared" si="61"/>
        <v>20155689</v>
      </c>
      <c r="I98" s="60">
        <f t="shared" si="61"/>
        <v>12000000</v>
      </c>
      <c r="J98" s="60">
        <f>J99</f>
        <v>32155689</v>
      </c>
      <c r="K98" s="60">
        <f t="shared" ref="K98:Q98" si="65">K99</f>
        <v>20155689</v>
      </c>
      <c r="L98" s="60">
        <f t="shared" si="65"/>
        <v>12000000</v>
      </c>
      <c r="M98" s="60">
        <f t="shared" si="65"/>
        <v>0</v>
      </c>
      <c r="N98" s="60">
        <f t="shared" si="65"/>
        <v>0</v>
      </c>
      <c r="O98" s="60">
        <f t="shared" si="65"/>
        <v>0</v>
      </c>
      <c r="P98" s="60">
        <f t="shared" si="65"/>
        <v>0</v>
      </c>
      <c r="Q98" s="60">
        <f t="shared" si="65"/>
        <v>0</v>
      </c>
    </row>
    <row r="99" spans="1:22" ht="28" customHeight="1" x14ac:dyDescent="0.35">
      <c r="A99" s="229"/>
      <c r="B99" s="232"/>
      <c r="C99" s="199"/>
      <c r="D99" s="200"/>
      <c r="E99" s="200"/>
      <c r="F99" s="66" t="s">
        <v>50</v>
      </c>
      <c r="G99" s="67">
        <f t="shared" si="60"/>
        <v>32155689</v>
      </c>
      <c r="H99" s="67">
        <f t="shared" si="61"/>
        <v>20155689</v>
      </c>
      <c r="I99" s="67">
        <f t="shared" si="61"/>
        <v>12000000</v>
      </c>
      <c r="J99" s="67">
        <f>K99+L99</f>
        <v>32155689</v>
      </c>
      <c r="K99" s="67">
        <f>20155689</f>
        <v>20155689</v>
      </c>
      <c r="L99" s="67">
        <f>12000000</f>
        <v>12000000</v>
      </c>
      <c r="M99" s="68">
        <v>0</v>
      </c>
      <c r="N99" s="68">
        <f>O99+P99</f>
        <v>0</v>
      </c>
      <c r="O99" s="68">
        <v>0</v>
      </c>
      <c r="P99" s="68">
        <v>0</v>
      </c>
      <c r="Q99" s="68">
        <v>0</v>
      </c>
    </row>
    <row r="100" spans="1:22" ht="28" customHeight="1" x14ac:dyDescent="0.35">
      <c r="A100" s="45" t="s">
        <v>753</v>
      </c>
      <c r="B100" s="46" t="s">
        <v>785</v>
      </c>
      <c r="C100" s="47">
        <f>C101</f>
        <v>0</v>
      </c>
      <c r="D100" s="47">
        <f t="shared" ref="D100:E101" si="66">D101</f>
        <v>0</v>
      </c>
      <c r="E100" s="47">
        <f t="shared" si="66"/>
        <v>0</v>
      </c>
      <c r="F100" s="82"/>
      <c r="G100" s="48">
        <f>G101</f>
        <v>21208961</v>
      </c>
      <c r="H100" s="48">
        <f t="shared" ref="H100:Q102" si="67">H101</f>
        <v>20419466</v>
      </c>
      <c r="I100" s="48">
        <f t="shared" si="67"/>
        <v>789495</v>
      </c>
      <c r="J100" s="48">
        <f t="shared" si="67"/>
        <v>21208961</v>
      </c>
      <c r="K100" s="48">
        <f t="shared" si="67"/>
        <v>20419466</v>
      </c>
      <c r="L100" s="48">
        <f t="shared" si="67"/>
        <v>789495</v>
      </c>
      <c r="M100" s="48">
        <f t="shared" si="67"/>
        <v>0</v>
      </c>
      <c r="N100" s="48">
        <f t="shared" si="67"/>
        <v>0</v>
      </c>
      <c r="O100" s="48">
        <f t="shared" si="67"/>
        <v>0</v>
      </c>
      <c r="P100" s="48">
        <f t="shared" si="67"/>
        <v>0</v>
      </c>
      <c r="Q100" s="48">
        <f t="shared" si="67"/>
        <v>0</v>
      </c>
    </row>
    <row r="101" spans="1:22" ht="28" customHeight="1" x14ac:dyDescent="0.35">
      <c r="A101" s="243" t="s">
        <v>754</v>
      </c>
      <c r="B101" s="246" t="s">
        <v>808</v>
      </c>
      <c r="C101" s="52">
        <f>C102</f>
        <v>0</v>
      </c>
      <c r="D101" s="52">
        <f t="shared" si="66"/>
        <v>0</v>
      </c>
      <c r="E101" s="52">
        <f t="shared" si="66"/>
        <v>0</v>
      </c>
      <c r="F101" s="54" t="s">
        <v>755</v>
      </c>
      <c r="G101" s="52">
        <f>J101+M101+N101+Q101</f>
        <v>21208961</v>
      </c>
      <c r="H101" s="52">
        <f t="shared" ref="H101:I103" si="68">K101+O101</f>
        <v>20419466</v>
      </c>
      <c r="I101" s="52">
        <f t="shared" si="68"/>
        <v>789495</v>
      </c>
      <c r="J101" s="52">
        <f>J102</f>
        <v>21208961</v>
      </c>
      <c r="K101" s="52">
        <f>K102</f>
        <v>20419466</v>
      </c>
      <c r="L101" s="52">
        <f t="shared" si="67"/>
        <v>789495</v>
      </c>
      <c r="M101" s="52">
        <f t="shared" si="67"/>
        <v>0</v>
      </c>
      <c r="N101" s="52">
        <f t="shared" si="67"/>
        <v>0</v>
      </c>
      <c r="O101" s="52">
        <f t="shared" si="67"/>
        <v>0</v>
      </c>
      <c r="P101" s="52">
        <f t="shared" si="67"/>
        <v>0</v>
      </c>
      <c r="Q101" s="52">
        <f t="shared" si="67"/>
        <v>0</v>
      </c>
    </row>
    <row r="102" spans="1:22" ht="28" customHeight="1" x14ac:dyDescent="0.35">
      <c r="A102" s="244"/>
      <c r="B102" s="247"/>
      <c r="C102" s="60">
        <v>0</v>
      </c>
      <c r="D102" s="60">
        <v>0</v>
      </c>
      <c r="E102" s="60">
        <v>0</v>
      </c>
      <c r="F102" s="61" t="s">
        <v>36</v>
      </c>
      <c r="G102" s="60">
        <f>J102+M102+N102+Q102</f>
        <v>21208961</v>
      </c>
      <c r="H102" s="60">
        <f t="shared" si="68"/>
        <v>20419466</v>
      </c>
      <c r="I102" s="60">
        <f t="shared" si="68"/>
        <v>789495</v>
      </c>
      <c r="J102" s="60">
        <f>J103</f>
        <v>21208961</v>
      </c>
      <c r="K102" s="60">
        <f t="shared" si="67"/>
        <v>20419466</v>
      </c>
      <c r="L102" s="60">
        <f t="shared" si="67"/>
        <v>789495</v>
      </c>
      <c r="M102" s="60">
        <f t="shared" si="67"/>
        <v>0</v>
      </c>
      <c r="N102" s="60">
        <f t="shared" si="67"/>
        <v>0</v>
      </c>
      <c r="O102" s="60">
        <f t="shared" si="67"/>
        <v>0</v>
      </c>
      <c r="P102" s="60">
        <f t="shared" si="67"/>
        <v>0</v>
      </c>
      <c r="Q102" s="60">
        <f t="shared" si="67"/>
        <v>0</v>
      </c>
    </row>
    <row r="103" spans="1:22" ht="28" customHeight="1" x14ac:dyDescent="0.35">
      <c r="A103" s="245"/>
      <c r="B103" s="248"/>
      <c r="C103" s="199"/>
      <c r="D103" s="200"/>
      <c r="E103" s="200"/>
      <c r="F103" s="66" t="s">
        <v>37</v>
      </c>
      <c r="G103" s="67">
        <f>J103+M103+N103+Q103</f>
        <v>21208961</v>
      </c>
      <c r="H103" s="67">
        <f t="shared" si="68"/>
        <v>20419466</v>
      </c>
      <c r="I103" s="67">
        <f t="shared" si="68"/>
        <v>789495</v>
      </c>
      <c r="J103" s="67">
        <f>K103+L103</f>
        <v>21208961</v>
      </c>
      <c r="K103" s="67">
        <f>20419466</f>
        <v>20419466</v>
      </c>
      <c r="L103" s="67">
        <f>789495</f>
        <v>789495</v>
      </c>
      <c r="M103" s="68">
        <v>0</v>
      </c>
      <c r="N103" s="68">
        <f>O103+P103</f>
        <v>0</v>
      </c>
      <c r="O103" s="68">
        <v>0</v>
      </c>
      <c r="P103" s="68">
        <v>0</v>
      </c>
      <c r="Q103" s="68">
        <v>0</v>
      </c>
    </row>
    <row r="104" spans="1:22" s="86" customFormat="1" ht="182" x14ac:dyDescent="0.35">
      <c r="A104" s="39" t="s">
        <v>97</v>
      </c>
      <c r="B104" s="40" t="s">
        <v>98</v>
      </c>
      <c r="C104" s="41">
        <f>C105+C146+C292+C309+C316+C323</f>
        <v>1276351361</v>
      </c>
      <c r="D104" s="41">
        <f t="shared" ref="D104:Q104" si="69">D105+D146+D292+D309+D316+D323</f>
        <v>71300000</v>
      </c>
      <c r="E104" s="41">
        <f t="shared" si="69"/>
        <v>556550000</v>
      </c>
      <c r="F104" s="42"/>
      <c r="G104" s="41">
        <f t="shared" si="69"/>
        <v>4024574855</v>
      </c>
      <c r="H104" s="41">
        <f t="shared" si="69"/>
        <v>2617242293</v>
      </c>
      <c r="I104" s="41">
        <f t="shared" si="69"/>
        <v>226944392</v>
      </c>
      <c r="J104" s="41">
        <f t="shared" si="69"/>
        <v>2844186685</v>
      </c>
      <c r="K104" s="41">
        <f t="shared" si="69"/>
        <v>2617242293</v>
      </c>
      <c r="L104" s="41">
        <f t="shared" si="69"/>
        <v>226944392</v>
      </c>
      <c r="M104" s="41">
        <f t="shared" si="69"/>
        <v>1180388170</v>
      </c>
      <c r="N104" s="41">
        <f t="shared" si="69"/>
        <v>0</v>
      </c>
      <c r="O104" s="41">
        <f t="shared" si="69"/>
        <v>0</v>
      </c>
      <c r="P104" s="41">
        <f t="shared" si="69"/>
        <v>0</v>
      </c>
      <c r="Q104" s="41">
        <f t="shared" si="69"/>
        <v>0</v>
      </c>
    </row>
    <row r="105" spans="1:22" s="86" customFormat="1" ht="30" customHeight="1" x14ac:dyDescent="0.35">
      <c r="A105" s="45" t="s">
        <v>99</v>
      </c>
      <c r="B105" s="46" t="s">
        <v>100</v>
      </c>
      <c r="C105" s="47">
        <f>C106+C126+C142</f>
        <v>210189910</v>
      </c>
      <c r="D105" s="47">
        <f>D106+D126+D142</f>
        <v>0</v>
      </c>
      <c r="E105" s="48">
        <f>E106+E126+E142</f>
        <v>516550000</v>
      </c>
      <c r="F105" s="49"/>
      <c r="G105" s="48">
        <f t="shared" ref="G105:Q105" si="70">G106+G126+G142</f>
        <v>1216437051</v>
      </c>
      <c r="H105" s="48">
        <f t="shared" si="70"/>
        <v>960818888</v>
      </c>
      <c r="I105" s="48">
        <f t="shared" si="70"/>
        <v>152628913</v>
      </c>
      <c r="J105" s="48">
        <f t="shared" si="70"/>
        <v>1113447801</v>
      </c>
      <c r="K105" s="48">
        <f t="shared" si="70"/>
        <v>960818888</v>
      </c>
      <c r="L105" s="48">
        <f t="shared" si="70"/>
        <v>152628913</v>
      </c>
      <c r="M105" s="48">
        <f t="shared" si="70"/>
        <v>102989250</v>
      </c>
      <c r="N105" s="48">
        <f t="shared" si="70"/>
        <v>0</v>
      </c>
      <c r="O105" s="48">
        <f t="shared" si="70"/>
        <v>0</v>
      </c>
      <c r="P105" s="48">
        <f t="shared" si="70"/>
        <v>0</v>
      </c>
      <c r="Q105" s="48">
        <f t="shared" si="70"/>
        <v>0</v>
      </c>
    </row>
    <row r="106" spans="1:22" s="55" customFormat="1" ht="52" x14ac:dyDescent="0.35">
      <c r="A106" s="87" t="s">
        <v>101</v>
      </c>
      <c r="B106" s="88" t="s">
        <v>102</v>
      </c>
      <c r="C106" s="52">
        <f>C107+C111+C120</f>
        <v>195618058</v>
      </c>
      <c r="D106" s="52">
        <f>D107+D111+D120</f>
        <v>0</v>
      </c>
      <c r="E106" s="53">
        <f>E107+E111+E120</f>
        <v>501550000</v>
      </c>
      <c r="F106" s="54" t="s">
        <v>103</v>
      </c>
      <c r="G106" s="52">
        <f>J106+M106+N106+Q106</f>
        <v>913821408</v>
      </c>
      <c r="H106" s="52">
        <f>K106+O106</f>
        <v>695786251</v>
      </c>
      <c r="I106" s="52">
        <f>L106+P106</f>
        <v>115045907</v>
      </c>
      <c r="J106" s="52">
        <f>J107+J111+J120+J123</f>
        <v>810832158</v>
      </c>
      <c r="K106" s="52">
        <f t="shared" ref="K106:Q106" si="71">K107+K111+K120+K123</f>
        <v>695786251</v>
      </c>
      <c r="L106" s="52">
        <f t="shared" si="71"/>
        <v>115045907</v>
      </c>
      <c r="M106" s="52">
        <f t="shared" si="71"/>
        <v>102989250</v>
      </c>
      <c r="N106" s="52">
        <f t="shared" si="71"/>
        <v>0</v>
      </c>
      <c r="O106" s="52">
        <f t="shared" si="71"/>
        <v>0</v>
      </c>
      <c r="P106" s="52">
        <f t="shared" si="71"/>
        <v>0</v>
      </c>
      <c r="Q106" s="52">
        <f t="shared" si="71"/>
        <v>0</v>
      </c>
    </row>
    <row r="107" spans="1:22" s="55" customFormat="1" ht="28" customHeight="1" x14ac:dyDescent="0.35">
      <c r="A107" s="262" t="s">
        <v>104</v>
      </c>
      <c r="B107" s="251" t="s">
        <v>105</v>
      </c>
      <c r="C107" s="56">
        <f>C108</f>
        <v>0</v>
      </c>
      <c r="D107" s="57">
        <f>D108</f>
        <v>0</v>
      </c>
      <c r="E107" s="58">
        <f>E108</f>
        <v>35000000</v>
      </c>
      <c r="F107" s="59" t="s">
        <v>106</v>
      </c>
      <c r="G107" s="58">
        <f t="shared" ref="G107:G145" si="72">J107+M107+N107+Q107</f>
        <v>77690000</v>
      </c>
      <c r="H107" s="58">
        <f t="shared" ref="H107:I145" si="73">K107+O107</f>
        <v>52704634</v>
      </c>
      <c r="I107" s="58">
        <f t="shared" si="73"/>
        <v>24985366</v>
      </c>
      <c r="J107" s="58">
        <f>J108</f>
        <v>77690000</v>
      </c>
      <c r="K107" s="58">
        <f t="shared" ref="K107:Q107" si="74">K108</f>
        <v>52704634</v>
      </c>
      <c r="L107" s="58">
        <f>L108</f>
        <v>24985366</v>
      </c>
      <c r="M107" s="58">
        <f t="shared" si="74"/>
        <v>0</v>
      </c>
      <c r="N107" s="58">
        <f t="shared" si="74"/>
        <v>0</v>
      </c>
      <c r="O107" s="58">
        <f t="shared" si="74"/>
        <v>0</v>
      </c>
      <c r="P107" s="58">
        <f t="shared" si="74"/>
        <v>0</v>
      </c>
      <c r="Q107" s="58">
        <f t="shared" si="74"/>
        <v>0</v>
      </c>
    </row>
    <row r="108" spans="1:22" ht="28" customHeight="1" x14ac:dyDescent="0.35">
      <c r="A108" s="262"/>
      <c r="B108" s="251"/>
      <c r="C108" s="60">
        <v>0</v>
      </c>
      <c r="D108" s="60">
        <v>0</v>
      </c>
      <c r="E108" s="72">
        <f>G110</f>
        <v>35000000</v>
      </c>
      <c r="F108" s="61" t="s">
        <v>107</v>
      </c>
      <c r="G108" s="60">
        <f t="shared" si="72"/>
        <v>77690000</v>
      </c>
      <c r="H108" s="60">
        <f t="shared" si="73"/>
        <v>52704634</v>
      </c>
      <c r="I108" s="60">
        <f t="shared" si="73"/>
        <v>24985366</v>
      </c>
      <c r="J108" s="60">
        <f>J109+J110</f>
        <v>77690000</v>
      </c>
      <c r="K108" s="60">
        <f t="shared" ref="K108:Q108" si="75">K109+K110</f>
        <v>52704634</v>
      </c>
      <c r="L108" s="60">
        <f t="shared" si="75"/>
        <v>24985366</v>
      </c>
      <c r="M108" s="60">
        <f t="shared" si="75"/>
        <v>0</v>
      </c>
      <c r="N108" s="60">
        <f t="shared" si="75"/>
        <v>0</v>
      </c>
      <c r="O108" s="60">
        <f t="shared" si="75"/>
        <v>0</v>
      </c>
      <c r="P108" s="60">
        <f t="shared" si="75"/>
        <v>0</v>
      </c>
      <c r="Q108" s="60">
        <f t="shared" si="75"/>
        <v>0</v>
      </c>
      <c r="R108" s="89"/>
      <c r="S108" s="89"/>
      <c r="T108" s="89"/>
      <c r="U108" s="89"/>
      <c r="V108" s="89"/>
    </row>
    <row r="109" spans="1:22" ht="28" customHeight="1" x14ac:dyDescent="0.35">
      <c r="A109" s="262"/>
      <c r="B109" s="251"/>
      <c r="C109" s="90"/>
      <c r="D109" s="73"/>
      <c r="E109" s="19"/>
      <c r="F109" s="66" t="s">
        <v>108</v>
      </c>
      <c r="G109" s="67">
        <f t="shared" si="72"/>
        <v>42690000</v>
      </c>
      <c r="H109" s="67">
        <f t="shared" si="73"/>
        <v>26468463</v>
      </c>
      <c r="I109" s="67">
        <f t="shared" si="73"/>
        <v>16221537</v>
      </c>
      <c r="J109" s="67">
        <f>K109+L109</f>
        <v>42690000</v>
      </c>
      <c r="K109" s="67">
        <v>26468463</v>
      </c>
      <c r="L109" s="67">
        <v>16221537</v>
      </c>
      <c r="M109" s="67">
        <v>0</v>
      </c>
      <c r="N109" s="67">
        <f>O109+P109</f>
        <v>0</v>
      </c>
      <c r="O109" s="67">
        <v>0</v>
      </c>
      <c r="P109" s="67">
        <v>0</v>
      </c>
      <c r="Q109" s="67">
        <v>0</v>
      </c>
      <c r="R109" s="89"/>
      <c r="S109" s="89"/>
      <c r="T109" s="89"/>
      <c r="U109" s="89"/>
      <c r="V109" s="89"/>
    </row>
    <row r="110" spans="1:22" ht="28" customHeight="1" x14ac:dyDescent="0.35">
      <c r="A110" s="262"/>
      <c r="B110" s="251"/>
      <c r="C110" s="90"/>
      <c r="D110" s="73"/>
      <c r="E110" s="19"/>
      <c r="F110" s="66" t="s">
        <v>109</v>
      </c>
      <c r="G110" s="74">
        <f t="shared" si="72"/>
        <v>35000000</v>
      </c>
      <c r="H110" s="74">
        <f t="shared" si="73"/>
        <v>26236171</v>
      </c>
      <c r="I110" s="74">
        <f t="shared" si="73"/>
        <v>8763829</v>
      </c>
      <c r="J110" s="74">
        <f>K110+L110</f>
        <v>35000000</v>
      </c>
      <c r="K110" s="74">
        <v>26236171</v>
      </c>
      <c r="L110" s="74">
        <v>8763829</v>
      </c>
      <c r="M110" s="74">
        <v>0</v>
      </c>
      <c r="N110" s="74">
        <f>O110+P110</f>
        <v>0</v>
      </c>
      <c r="O110" s="74">
        <v>0</v>
      </c>
      <c r="P110" s="74">
        <v>0</v>
      </c>
      <c r="Q110" s="74">
        <v>0</v>
      </c>
      <c r="R110" s="89"/>
      <c r="S110" s="89"/>
      <c r="T110" s="89"/>
      <c r="U110" s="89"/>
      <c r="V110" s="89"/>
    </row>
    <row r="111" spans="1:22" ht="28" customHeight="1" x14ac:dyDescent="0.35">
      <c r="A111" s="262" t="s">
        <v>110</v>
      </c>
      <c r="B111" s="251" t="s">
        <v>111</v>
      </c>
      <c r="C111" s="56">
        <f>C112+C117</f>
        <v>195618058</v>
      </c>
      <c r="D111" s="57">
        <f>D112+D117</f>
        <v>0</v>
      </c>
      <c r="E111" s="58">
        <f>E112+E117</f>
        <v>466550000</v>
      </c>
      <c r="F111" s="59" t="s">
        <v>112</v>
      </c>
      <c r="G111" s="58">
        <f t="shared" si="72"/>
        <v>795868059</v>
      </c>
      <c r="H111" s="58">
        <f t="shared" si="73"/>
        <v>616979758</v>
      </c>
      <c r="I111" s="58">
        <f t="shared" si="73"/>
        <v>75899051</v>
      </c>
      <c r="J111" s="58">
        <f>J112+J117</f>
        <v>692878809</v>
      </c>
      <c r="K111" s="58">
        <f t="shared" ref="K111:Q111" si="76">K112+K117</f>
        <v>616979758</v>
      </c>
      <c r="L111" s="58">
        <f t="shared" si="76"/>
        <v>75899051</v>
      </c>
      <c r="M111" s="58">
        <f t="shared" si="76"/>
        <v>102989250</v>
      </c>
      <c r="N111" s="58">
        <f t="shared" si="76"/>
        <v>0</v>
      </c>
      <c r="O111" s="58">
        <f t="shared" si="76"/>
        <v>0</v>
      </c>
      <c r="P111" s="58">
        <f t="shared" si="76"/>
        <v>0</v>
      </c>
      <c r="Q111" s="58">
        <f t="shared" si="76"/>
        <v>0</v>
      </c>
      <c r="R111" s="89"/>
      <c r="S111" s="89"/>
      <c r="T111" s="89"/>
      <c r="U111" s="89"/>
      <c r="V111" s="89"/>
    </row>
    <row r="112" spans="1:22" s="62" customFormat="1" ht="28" customHeight="1" x14ac:dyDescent="0.35">
      <c r="A112" s="262"/>
      <c r="B112" s="251"/>
      <c r="C112" s="69">
        <f>G114+G115</f>
        <v>195618058</v>
      </c>
      <c r="D112" s="60">
        <v>0</v>
      </c>
      <c r="E112" s="91">
        <f>G116</f>
        <v>50000000</v>
      </c>
      <c r="F112" s="61" t="s">
        <v>107</v>
      </c>
      <c r="G112" s="60">
        <f t="shared" si="72"/>
        <v>379318059</v>
      </c>
      <c r="H112" s="60">
        <f t="shared" si="73"/>
        <v>303419008</v>
      </c>
      <c r="I112" s="60">
        <f t="shared" si="73"/>
        <v>75899051</v>
      </c>
      <c r="J112" s="60">
        <f>J113+J114+J115+J116</f>
        <v>379318059</v>
      </c>
      <c r="K112" s="60">
        <f t="shared" ref="K112:Q112" si="77">K113+K114+K115+K116</f>
        <v>303419008</v>
      </c>
      <c r="L112" s="60">
        <f t="shared" si="77"/>
        <v>75899051</v>
      </c>
      <c r="M112" s="60">
        <f t="shared" si="77"/>
        <v>0</v>
      </c>
      <c r="N112" s="60">
        <f t="shared" si="77"/>
        <v>0</v>
      </c>
      <c r="O112" s="60">
        <f t="shared" si="77"/>
        <v>0</v>
      </c>
      <c r="P112" s="60">
        <f t="shared" si="77"/>
        <v>0</v>
      </c>
      <c r="Q112" s="60">
        <f t="shared" si="77"/>
        <v>0</v>
      </c>
      <c r="R112" s="92"/>
      <c r="S112" s="92"/>
      <c r="T112" s="92"/>
      <c r="U112" s="92"/>
      <c r="V112" s="92"/>
    </row>
    <row r="113" spans="1:22" s="62" customFormat="1" ht="28" customHeight="1" x14ac:dyDescent="0.35">
      <c r="A113" s="262"/>
      <c r="B113" s="251"/>
      <c r="C113" s="79"/>
      <c r="D113" s="73"/>
      <c r="E113" s="93"/>
      <c r="F113" s="66" t="s">
        <v>108</v>
      </c>
      <c r="G113" s="67">
        <f t="shared" si="72"/>
        <v>133700001</v>
      </c>
      <c r="H113" s="67">
        <f t="shared" si="73"/>
        <v>104246735</v>
      </c>
      <c r="I113" s="67">
        <f t="shared" si="73"/>
        <v>29453266</v>
      </c>
      <c r="J113" s="67">
        <f>K113+L113</f>
        <v>133700001</v>
      </c>
      <c r="K113" s="67">
        <v>104246735</v>
      </c>
      <c r="L113" s="67">
        <v>29453266</v>
      </c>
      <c r="M113" s="67">
        <v>0</v>
      </c>
      <c r="N113" s="67">
        <f>O113+P113</f>
        <v>0</v>
      </c>
      <c r="O113" s="67">
        <v>0</v>
      </c>
      <c r="P113" s="67">
        <v>0</v>
      </c>
      <c r="Q113" s="67">
        <v>0</v>
      </c>
      <c r="R113" s="92"/>
      <c r="S113" s="92"/>
      <c r="T113" s="92"/>
      <c r="U113" s="92"/>
      <c r="V113" s="92"/>
    </row>
    <row r="114" spans="1:22" s="62" customFormat="1" ht="28" customHeight="1" x14ac:dyDescent="0.35">
      <c r="A114" s="262"/>
      <c r="B114" s="251"/>
      <c r="C114" s="79"/>
      <c r="D114" s="73"/>
      <c r="E114" s="93"/>
      <c r="F114" s="66" t="s">
        <v>113</v>
      </c>
      <c r="G114" s="71">
        <f t="shared" si="72"/>
        <v>109433111</v>
      </c>
      <c r="H114" s="71">
        <f t="shared" si="73"/>
        <v>82608175</v>
      </c>
      <c r="I114" s="71">
        <f t="shared" si="73"/>
        <v>26824936</v>
      </c>
      <c r="J114" s="71">
        <f>K114+L114</f>
        <v>109433111</v>
      </c>
      <c r="K114" s="71">
        <f>58306904+3000000+871577+1000000+3000000-1542034+17971728</f>
        <v>82608175</v>
      </c>
      <c r="L114" s="71">
        <f>19824936+7000000</f>
        <v>26824936</v>
      </c>
      <c r="M114" s="71">
        <v>0</v>
      </c>
      <c r="N114" s="71">
        <f>O114+P114</f>
        <v>0</v>
      </c>
      <c r="O114" s="71">
        <v>0</v>
      </c>
      <c r="P114" s="71">
        <v>0</v>
      </c>
      <c r="Q114" s="71">
        <v>0</v>
      </c>
      <c r="R114" s="92"/>
      <c r="S114" s="92"/>
      <c r="T114" s="92"/>
      <c r="U114" s="92"/>
      <c r="V114" s="92"/>
    </row>
    <row r="115" spans="1:22" s="62" customFormat="1" ht="28" customHeight="1" x14ac:dyDescent="0.35">
      <c r="A115" s="262"/>
      <c r="B115" s="251"/>
      <c r="C115" s="79"/>
      <c r="D115" s="73"/>
      <c r="E115" s="93"/>
      <c r="F115" s="66" t="s">
        <v>114</v>
      </c>
      <c r="G115" s="71">
        <f t="shared" si="72"/>
        <v>86184947</v>
      </c>
      <c r="H115" s="71">
        <f t="shared" si="73"/>
        <v>79083853</v>
      </c>
      <c r="I115" s="71">
        <f t="shared" si="73"/>
        <v>7101094</v>
      </c>
      <c r="J115" s="71">
        <f>K115+L115</f>
        <v>86184947</v>
      </c>
      <c r="K115" s="71">
        <f>40130227+28653919+1542034-268166+9025839</f>
        <v>79083853</v>
      </c>
      <c r="L115" s="71">
        <f>3538823+2839242+723029</f>
        <v>7101094</v>
      </c>
      <c r="M115" s="71">
        <v>0</v>
      </c>
      <c r="N115" s="71">
        <f>O115+P115</f>
        <v>0</v>
      </c>
      <c r="O115" s="71">
        <v>0</v>
      </c>
      <c r="P115" s="71">
        <v>0</v>
      </c>
      <c r="Q115" s="71">
        <v>0</v>
      </c>
      <c r="R115" s="92"/>
      <c r="S115" s="92"/>
      <c r="T115" s="92"/>
      <c r="U115" s="92"/>
      <c r="V115" s="92"/>
    </row>
    <row r="116" spans="1:22" s="62" customFormat="1" ht="28" customHeight="1" x14ac:dyDescent="0.35">
      <c r="A116" s="262"/>
      <c r="B116" s="251"/>
      <c r="C116" s="94"/>
      <c r="D116" s="95"/>
      <c r="E116" s="96"/>
      <c r="F116" s="66" t="s">
        <v>109</v>
      </c>
      <c r="G116" s="74">
        <f t="shared" si="72"/>
        <v>50000000</v>
      </c>
      <c r="H116" s="74">
        <f t="shared" si="73"/>
        <v>37480245</v>
      </c>
      <c r="I116" s="74">
        <f t="shared" si="73"/>
        <v>12519755</v>
      </c>
      <c r="J116" s="74">
        <f>K116+L116</f>
        <v>50000000</v>
      </c>
      <c r="K116" s="74">
        <v>37480245</v>
      </c>
      <c r="L116" s="74">
        <v>12519755</v>
      </c>
      <c r="M116" s="74">
        <v>0</v>
      </c>
      <c r="N116" s="74">
        <f>O116+P116</f>
        <v>0</v>
      </c>
      <c r="O116" s="74">
        <v>0</v>
      </c>
      <c r="P116" s="74">
        <v>0</v>
      </c>
      <c r="Q116" s="74">
        <v>0</v>
      </c>
      <c r="R116" s="92"/>
      <c r="S116" s="92"/>
      <c r="T116" s="92"/>
      <c r="U116" s="92"/>
      <c r="V116" s="92"/>
    </row>
    <row r="117" spans="1:22" s="62" customFormat="1" ht="28" customHeight="1" x14ac:dyDescent="0.35">
      <c r="A117" s="262"/>
      <c r="B117" s="251"/>
      <c r="C117" s="60">
        <v>0</v>
      </c>
      <c r="D117" s="60">
        <v>0</v>
      </c>
      <c r="E117" s="91">
        <f>G119</f>
        <v>416550000</v>
      </c>
      <c r="F117" s="61" t="s">
        <v>115</v>
      </c>
      <c r="G117" s="60">
        <f t="shared" si="72"/>
        <v>416550000</v>
      </c>
      <c r="H117" s="60">
        <f t="shared" si="73"/>
        <v>313560750</v>
      </c>
      <c r="I117" s="60">
        <f t="shared" si="73"/>
        <v>0</v>
      </c>
      <c r="J117" s="60">
        <f>J118+J119</f>
        <v>313560750</v>
      </c>
      <c r="K117" s="60">
        <f t="shared" ref="K117:Q117" si="78">K118+K119</f>
        <v>313560750</v>
      </c>
      <c r="L117" s="60">
        <f t="shared" si="78"/>
        <v>0</v>
      </c>
      <c r="M117" s="60">
        <f t="shared" si="78"/>
        <v>102989250</v>
      </c>
      <c r="N117" s="60">
        <f t="shared" si="78"/>
        <v>0</v>
      </c>
      <c r="O117" s="60">
        <f t="shared" si="78"/>
        <v>0</v>
      </c>
      <c r="P117" s="60">
        <f t="shared" si="78"/>
        <v>0</v>
      </c>
      <c r="Q117" s="60">
        <f t="shared" si="78"/>
        <v>0</v>
      </c>
      <c r="R117" s="92"/>
      <c r="S117" s="92"/>
      <c r="T117" s="92"/>
      <c r="U117" s="92"/>
      <c r="V117" s="92"/>
    </row>
    <row r="118" spans="1:22" s="62" customFormat="1" ht="28" customHeight="1" x14ac:dyDescent="0.35">
      <c r="A118" s="262"/>
      <c r="B118" s="251"/>
      <c r="C118" s="97"/>
      <c r="D118" s="73"/>
      <c r="E118" s="64"/>
      <c r="F118" s="66" t="s">
        <v>116</v>
      </c>
      <c r="G118" s="67">
        <f t="shared" si="72"/>
        <v>0</v>
      </c>
      <c r="H118" s="67">
        <f t="shared" si="73"/>
        <v>0</v>
      </c>
      <c r="I118" s="67">
        <f t="shared" si="73"/>
        <v>0</v>
      </c>
      <c r="J118" s="67">
        <f>K118+L118</f>
        <v>0</v>
      </c>
      <c r="K118" s="67">
        <v>0</v>
      </c>
      <c r="L118" s="67">
        <v>0</v>
      </c>
      <c r="M118" s="67">
        <v>0</v>
      </c>
      <c r="N118" s="67">
        <f>O118+P118</f>
        <v>0</v>
      </c>
      <c r="O118" s="67">
        <v>0</v>
      </c>
      <c r="P118" s="67">
        <v>0</v>
      </c>
      <c r="Q118" s="67">
        <v>0</v>
      </c>
      <c r="R118" s="92"/>
      <c r="S118" s="92"/>
      <c r="T118" s="92"/>
      <c r="U118" s="92"/>
      <c r="V118" s="92"/>
    </row>
    <row r="119" spans="1:22" s="62" customFormat="1" ht="28" customHeight="1" x14ac:dyDescent="0.35">
      <c r="A119" s="262"/>
      <c r="B119" s="251"/>
      <c r="C119" s="97"/>
      <c r="D119" s="73"/>
      <c r="E119" s="64"/>
      <c r="F119" s="66" t="s">
        <v>117</v>
      </c>
      <c r="G119" s="74">
        <f t="shared" si="72"/>
        <v>416550000</v>
      </c>
      <c r="H119" s="74">
        <f t="shared" si="73"/>
        <v>313560750</v>
      </c>
      <c r="I119" s="74">
        <f t="shared" si="73"/>
        <v>0</v>
      </c>
      <c r="J119" s="74">
        <f>K119+L119</f>
        <v>313560750</v>
      </c>
      <c r="K119" s="74">
        <v>313560750</v>
      </c>
      <c r="L119" s="74">
        <v>0</v>
      </c>
      <c r="M119" s="74">
        <v>102989250</v>
      </c>
      <c r="N119" s="74">
        <f>O119+P119</f>
        <v>0</v>
      </c>
      <c r="O119" s="74">
        <v>0</v>
      </c>
      <c r="P119" s="74">
        <v>0</v>
      </c>
      <c r="Q119" s="74">
        <v>0</v>
      </c>
      <c r="R119" s="92"/>
      <c r="S119" s="92"/>
      <c r="T119" s="92"/>
      <c r="U119" s="92"/>
      <c r="V119" s="92"/>
    </row>
    <row r="120" spans="1:22" s="62" customFormat="1" ht="28" customHeight="1" x14ac:dyDescent="0.35">
      <c r="A120" s="262" t="s">
        <v>118</v>
      </c>
      <c r="B120" s="251" t="s">
        <v>119</v>
      </c>
      <c r="C120" s="56">
        <f>C121</f>
        <v>0</v>
      </c>
      <c r="D120" s="57">
        <f>D121</f>
        <v>0</v>
      </c>
      <c r="E120" s="58">
        <f>E121</f>
        <v>0</v>
      </c>
      <c r="F120" s="59" t="s">
        <v>120</v>
      </c>
      <c r="G120" s="58">
        <f t="shared" si="72"/>
        <v>25263349</v>
      </c>
      <c r="H120" s="58">
        <f t="shared" si="73"/>
        <v>14101859</v>
      </c>
      <c r="I120" s="58">
        <f t="shared" si="73"/>
        <v>11161490</v>
      </c>
      <c r="J120" s="58">
        <f>J121</f>
        <v>25263349</v>
      </c>
      <c r="K120" s="58">
        <f t="shared" ref="K120:Q121" si="79">K121</f>
        <v>14101859</v>
      </c>
      <c r="L120" s="58">
        <f t="shared" si="79"/>
        <v>11161490</v>
      </c>
      <c r="M120" s="58">
        <f t="shared" si="79"/>
        <v>0</v>
      </c>
      <c r="N120" s="58">
        <f t="shared" si="79"/>
        <v>0</v>
      </c>
      <c r="O120" s="58">
        <f t="shared" si="79"/>
        <v>0</v>
      </c>
      <c r="P120" s="58">
        <f t="shared" si="79"/>
        <v>0</v>
      </c>
      <c r="Q120" s="58">
        <f t="shared" si="79"/>
        <v>0</v>
      </c>
      <c r="R120" s="92"/>
      <c r="S120" s="92"/>
      <c r="T120" s="92"/>
      <c r="U120" s="92"/>
      <c r="V120" s="92"/>
    </row>
    <row r="121" spans="1:22" ht="28" customHeight="1" x14ac:dyDescent="0.35">
      <c r="A121" s="262"/>
      <c r="B121" s="251"/>
      <c r="C121" s="60">
        <v>0</v>
      </c>
      <c r="D121" s="60">
        <v>0</v>
      </c>
      <c r="E121" s="60">
        <v>0</v>
      </c>
      <c r="F121" s="61" t="s">
        <v>107</v>
      </c>
      <c r="G121" s="60">
        <f t="shared" si="72"/>
        <v>25263349</v>
      </c>
      <c r="H121" s="60">
        <f t="shared" si="73"/>
        <v>14101859</v>
      </c>
      <c r="I121" s="60">
        <f t="shared" si="73"/>
        <v>11161490</v>
      </c>
      <c r="J121" s="60">
        <f>J122</f>
        <v>25263349</v>
      </c>
      <c r="K121" s="60">
        <f t="shared" si="79"/>
        <v>14101859</v>
      </c>
      <c r="L121" s="60">
        <f t="shared" si="79"/>
        <v>11161490</v>
      </c>
      <c r="M121" s="60">
        <f t="shared" si="79"/>
        <v>0</v>
      </c>
      <c r="N121" s="60">
        <f t="shared" si="79"/>
        <v>0</v>
      </c>
      <c r="O121" s="60">
        <f t="shared" si="79"/>
        <v>0</v>
      </c>
      <c r="P121" s="60">
        <f t="shared" si="79"/>
        <v>0</v>
      </c>
      <c r="Q121" s="60">
        <f t="shared" si="79"/>
        <v>0</v>
      </c>
      <c r="R121" s="89"/>
      <c r="S121" s="89"/>
      <c r="T121" s="89"/>
      <c r="U121" s="89"/>
      <c r="V121" s="89"/>
    </row>
    <row r="122" spans="1:22" ht="28" customHeight="1" x14ac:dyDescent="0.35">
      <c r="A122" s="262"/>
      <c r="B122" s="251"/>
      <c r="C122" s="98"/>
      <c r="D122" s="73"/>
      <c r="E122" s="78"/>
      <c r="F122" s="66" t="s">
        <v>108</v>
      </c>
      <c r="G122" s="67">
        <f t="shared" si="72"/>
        <v>25263349</v>
      </c>
      <c r="H122" s="67">
        <f t="shared" si="73"/>
        <v>14101859</v>
      </c>
      <c r="I122" s="67">
        <f t="shared" si="73"/>
        <v>11161490</v>
      </c>
      <c r="J122" s="67">
        <f>K122+L122</f>
        <v>25263349</v>
      </c>
      <c r="K122" s="67">
        <f>32025000-17923141</f>
        <v>14101859</v>
      </c>
      <c r="L122" s="67">
        <f>12575000-1413510</f>
        <v>11161490</v>
      </c>
      <c r="M122" s="67">
        <v>0</v>
      </c>
      <c r="N122" s="67">
        <f>O122+P122</f>
        <v>0</v>
      </c>
      <c r="O122" s="67">
        <v>0</v>
      </c>
      <c r="P122" s="67">
        <v>0</v>
      </c>
      <c r="Q122" s="67">
        <v>0</v>
      </c>
      <c r="R122" s="89"/>
      <c r="S122" s="89"/>
      <c r="T122" s="89"/>
      <c r="U122" s="89"/>
      <c r="V122" s="89"/>
    </row>
    <row r="123" spans="1:22" ht="28" customHeight="1" x14ac:dyDescent="0.35">
      <c r="A123" s="268" t="s">
        <v>839</v>
      </c>
      <c r="B123" s="253" t="s">
        <v>840</v>
      </c>
      <c r="C123" s="56">
        <f>C124</f>
        <v>0</v>
      </c>
      <c r="D123" s="57">
        <f>D124</f>
        <v>0</v>
      </c>
      <c r="E123" s="58">
        <f>E124</f>
        <v>0</v>
      </c>
      <c r="F123" s="59" t="s">
        <v>841</v>
      </c>
      <c r="G123" s="58">
        <f t="shared" si="72"/>
        <v>15000000</v>
      </c>
      <c r="H123" s="58">
        <f t="shared" si="73"/>
        <v>12000000</v>
      </c>
      <c r="I123" s="58">
        <f t="shared" si="73"/>
        <v>3000000</v>
      </c>
      <c r="J123" s="58">
        <f>J124</f>
        <v>15000000</v>
      </c>
      <c r="K123" s="58">
        <f t="shared" ref="K123:Q124" si="80">K124</f>
        <v>12000000</v>
      </c>
      <c r="L123" s="58">
        <f t="shared" si="80"/>
        <v>3000000</v>
      </c>
      <c r="M123" s="58">
        <f t="shared" si="80"/>
        <v>0</v>
      </c>
      <c r="N123" s="58">
        <f t="shared" si="80"/>
        <v>0</v>
      </c>
      <c r="O123" s="58">
        <f t="shared" si="80"/>
        <v>0</v>
      </c>
      <c r="P123" s="58">
        <f t="shared" si="80"/>
        <v>0</v>
      </c>
      <c r="Q123" s="58">
        <f t="shared" si="80"/>
        <v>0</v>
      </c>
      <c r="R123" s="89"/>
      <c r="S123" s="89"/>
      <c r="T123" s="89"/>
      <c r="U123" s="89"/>
      <c r="V123" s="89"/>
    </row>
    <row r="124" spans="1:22" ht="28" customHeight="1" x14ac:dyDescent="0.35">
      <c r="A124" s="269"/>
      <c r="B124" s="254"/>
      <c r="C124" s="60">
        <v>0</v>
      </c>
      <c r="D124" s="60">
        <v>0</v>
      </c>
      <c r="E124" s="60">
        <v>0</v>
      </c>
      <c r="F124" s="61" t="s">
        <v>107</v>
      </c>
      <c r="G124" s="60">
        <f t="shared" si="72"/>
        <v>15000000</v>
      </c>
      <c r="H124" s="60">
        <f t="shared" si="73"/>
        <v>12000000</v>
      </c>
      <c r="I124" s="60">
        <f t="shared" si="73"/>
        <v>3000000</v>
      </c>
      <c r="J124" s="60">
        <f>J125</f>
        <v>15000000</v>
      </c>
      <c r="K124" s="60">
        <f t="shared" si="80"/>
        <v>12000000</v>
      </c>
      <c r="L124" s="60">
        <f t="shared" si="80"/>
        <v>3000000</v>
      </c>
      <c r="M124" s="60">
        <f t="shared" si="80"/>
        <v>0</v>
      </c>
      <c r="N124" s="60">
        <f t="shared" si="80"/>
        <v>0</v>
      </c>
      <c r="O124" s="60">
        <f t="shared" si="80"/>
        <v>0</v>
      </c>
      <c r="P124" s="60">
        <f t="shared" si="80"/>
        <v>0</v>
      </c>
      <c r="Q124" s="60">
        <f t="shared" si="80"/>
        <v>0</v>
      </c>
      <c r="R124" s="89"/>
      <c r="S124" s="89"/>
      <c r="T124" s="89"/>
      <c r="U124" s="89"/>
      <c r="V124" s="89"/>
    </row>
    <row r="125" spans="1:22" ht="28" customHeight="1" x14ac:dyDescent="0.35">
      <c r="A125" s="270"/>
      <c r="B125" s="255"/>
      <c r="C125" s="199"/>
      <c r="D125" s="200"/>
      <c r="E125" s="200"/>
      <c r="F125" s="66" t="s">
        <v>108</v>
      </c>
      <c r="G125" s="67">
        <f t="shared" si="72"/>
        <v>15000000</v>
      </c>
      <c r="H125" s="67">
        <f t="shared" si="73"/>
        <v>12000000</v>
      </c>
      <c r="I125" s="67">
        <f t="shared" si="73"/>
        <v>3000000</v>
      </c>
      <c r="J125" s="67">
        <f>K125+L125</f>
        <v>15000000</v>
      </c>
      <c r="K125" s="67">
        <f>12000000</f>
        <v>12000000</v>
      </c>
      <c r="L125" s="67">
        <f>3000000</f>
        <v>3000000</v>
      </c>
      <c r="M125" s="67">
        <v>0</v>
      </c>
      <c r="N125" s="67">
        <f>O125+P125</f>
        <v>0</v>
      </c>
      <c r="O125" s="67">
        <v>0</v>
      </c>
      <c r="P125" s="67">
        <v>0</v>
      </c>
      <c r="Q125" s="67">
        <v>0</v>
      </c>
      <c r="R125" s="89"/>
      <c r="S125" s="89"/>
      <c r="T125" s="89"/>
      <c r="U125" s="89"/>
      <c r="V125" s="89"/>
    </row>
    <row r="126" spans="1:22" ht="78" x14ac:dyDescent="0.35">
      <c r="A126" s="87" t="s">
        <v>121</v>
      </c>
      <c r="B126" s="88" t="s">
        <v>122</v>
      </c>
      <c r="C126" s="52">
        <f>C127+C131+C136+C139</f>
        <v>14571852</v>
      </c>
      <c r="D126" s="52">
        <f>D127+D131+D136+D139</f>
        <v>0</v>
      </c>
      <c r="E126" s="53">
        <f>E127+E131+E136+E139</f>
        <v>15000000</v>
      </c>
      <c r="F126" s="54" t="s">
        <v>123</v>
      </c>
      <c r="G126" s="52">
        <f t="shared" si="72"/>
        <v>288698442</v>
      </c>
      <c r="H126" s="52">
        <f t="shared" si="73"/>
        <v>252068402</v>
      </c>
      <c r="I126" s="52">
        <f t="shared" si="73"/>
        <v>36630040</v>
      </c>
      <c r="J126" s="52">
        <f>J127+J131+J136+J139</f>
        <v>288698442</v>
      </c>
      <c r="K126" s="52">
        <f t="shared" ref="K126:Q126" si="81">K127+K131+K136+K139</f>
        <v>252068402</v>
      </c>
      <c r="L126" s="52">
        <f t="shared" si="81"/>
        <v>36630040</v>
      </c>
      <c r="M126" s="52">
        <f t="shared" si="81"/>
        <v>0</v>
      </c>
      <c r="N126" s="52">
        <f t="shared" si="81"/>
        <v>0</v>
      </c>
      <c r="O126" s="52">
        <f t="shared" si="81"/>
        <v>0</v>
      </c>
      <c r="P126" s="52">
        <f t="shared" si="81"/>
        <v>0</v>
      </c>
      <c r="Q126" s="52">
        <f t="shared" si="81"/>
        <v>0</v>
      </c>
      <c r="R126" s="89"/>
      <c r="S126" s="89"/>
      <c r="T126" s="89"/>
      <c r="U126" s="89"/>
      <c r="V126" s="89"/>
    </row>
    <row r="127" spans="1:22" ht="28" customHeight="1" x14ac:dyDescent="0.35">
      <c r="A127" s="262" t="s">
        <v>124</v>
      </c>
      <c r="B127" s="251" t="s">
        <v>125</v>
      </c>
      <c r="C127" s="56">
        <f>C128</f>
        <v>0</v>
      </c>
      <c r="D127" s="57">
        <f>D128</f>
        <v>0</v>
      </c>
      <c r="E127" s="58">
        <f>E128</f>
        <v>15000000</v>
      </c>
      <c r="F127" s="59" t="s">
        <v>126</v>
      </c>
      <c r="G127" s="58">
        <f t="shared" si="72"/>
        <v>95062529</v>
      </c>
      <c r="H127" s="58">
        <f t="shared" si="73"/>
        <v>74091980</v>
      </c>
      <c r="I127" s="58">
        <f t="shared" si="73"/>
        <v>20970549</v>
      </c>
      <c r="J127" s="58">
        <f>J128</f>
        <v>95062529</v>
      </c>
      <c r="K127" s="58">
        <f t="shared" ref="K127:Q127" si="82">K128</f>
        <v>74091980</v>
      </c>
      <c r="L127" s="58">
        <f t="shared" si="82"/>
        <v>20970549</v>
      </c>
      <c r="M127" s="58">
        <f t="shared" si="82"/>
        <v>0</v>
      </c>
      <c r="N127" s="58">
        <f t="shared" si="82"/>
        <v>0</v>
      </c>
      <c r="O127" s="58">
        <f t="shared" si="82"/>
        <v>0</v>
      </c>
      <c r="P127" s="58">
        <f t="shared" si="82"/>
        <v>0</v>
      </c>
      <c r="Q127" s="58">
        <f t="shared" si="82"/>
        <v>0</v>
      </c>
      <c r="R127" s="89"/>
      <c r="S127" s="89"/>
      <c r="T127" s="89"/>
      <c r="U127" s="89"/>
      <c r="V127" s="89"/>
    </row>
    <row r="128" spans="1:22" ht="28" customHeight="1" x14ac:dyDescent="0.35">
      <c r="A128" s="262"/>
      <c r="B128" s="251"/>
      <c r="C128" s="60">
        <v>0</v>
      </c>
      <c r="D128" s="60">
        <v>0</v>
      </c>
      <c r="E128" s="72">
        <f>G130</f>
        <v>15000000</v>
      </c>
      <c r="F128" s="61" t="s">
        <v>107</v>
      </c>
      <c r="G128" s="60">
        <f t="shared" si="72"/>
        <v>95062529</v>
      </c>
      <c r="H128" s="60">
        <f t="shared" si="73"/>
        <v>74091980</v>
      </c>
      <c r="I128" s="60">
        <f t="shared" si="73"/>
        <v>20970549</v>
      </c>
      <c r="J128" s="60">
        <f>J129+J130</f>
        <v>95062529</v>
      </c>
      <c r="K128" s="60">
        <f>J128-L128</f>
        <v>74091980</v>
      </c>
      <c r="L128" s="60">
        <v>20970549</v>
      </c>
      <c r="M128" s="60">
        <v>0</v>
      </c>
      <c r="N128" s="60">
        <f>O128+P128</f>
        <v>0</v>
      </c>
      <c r="O128" s="60">
        <v>0</v>
      </c>
      <c r="P128" s="60">
        <v>0</v>
      </c>
      <c r="Q128" s="60">
        <v>0</v>
      </c>
      <c r="R128" s="89"/>
      <c r="S128" s="89"/>
      <c r="T128" s="89"/>
      <c r="U128" s="89"/>
      <c r="V128" s="89"/>
    </row>
    <row r="129" spans="1:22" ht="28" customHeight="1" x14ac:dyDescent="0.35">
      <c r="A129" s="262"/>
      <c r="B129" s="251"/>
      <c r="C129" s="90"/>
      <c r="D129" s="73"/>
      <c r="E129" s="19"/>
      <c r="F129" s="66" t="s">
        <v>108</v>
      </c>
      <c r="G129" s="67">
        <f t="shared" si="72"/>
        <v>80062529</v>
      </c>
      <c r="H129" s="67">
        <f t="shared" si="73"/>
        <v>62912492</v>
      </c>
      <c r="I129" s="67">
        <f t="shared" si="73"/>
        <v>17150037</v>
      </c>
      <c r="J129" s="67">
        <f>K129+L129</f>
        <v>80062529</v>
      </c>
      <c r="K129" s="67">
        <v>62912492</v>
      </c>
      <c r="L129" s="67">
        <v>17150037</v>
      </c>
      <c r="M129" s="67">
        <v>0</v>
      </c>
      <c r="N129" s="67">
        <f>O129+P129</f>
        <v>0</v>
      </c>
      <c r="O129" s="67">
        <v>0</v>
      </c>
      <c r="P129" s="67">
        <v>0</v>
      </c>
      <c r="Q129" s="67">
        <v>0</v>
      </c>
      <c r="R129" s="89"/>
      <c r="S129" s="89"/>
      <c r="T129" s="89"/>
      <c r="U129" s="89"/>
      <c r="V129" s="89"/>
    </row>
    <row r="130" spans="1:22" ht="28" customHeight="1" x14ac:dyDescent="0.35">
      <c r="A130" s="262"/>
      <c r="B130" s="251"/>
      <c r="C130" s="90"/>
      <c r="D130" s="73"/>
      <c r="E130" s="19"/>
      <c r="F130" s="66" t="s">
        <v>109</v>
      </c>
      <c r="G130" s="74">
        <f t="shared" si="72"/>
        <v>15000000</v>
      </c>
      <c r="H130" s="74">
        <f t="shared" si="73"/>
        <v>11179488</v>
      </c>
      <c r="I130" s="74">
        <f t="shared" si="73"/>
        <v>3820512</v>
      </c>
      <c r="J130" s="74">
        <f>K130+L130</f>
        <v>15000000</v>
      </c>
      <c r="K130" s="74">
        <v>11179488</v>
      </c>
      <c r="L130" s="74">
        <v>3820512</v>
      </c>
      <c r="M130" s="74">
        <v>0</v>
      </c>
      <c r="N130" s="74">
        <f>O130+P130</f>
        <v>0</v>
      </c>
      <c r="O130" s="74">
        <v>0</v>
      </c>
      <c r="P130" s="74">
        <v>0</v>
      </c>
      <c r="Q130" s="74">
        <v>0</v>
      </c>
      <c r="R130" s="89"/>
      <c r="S130" s="89"/>
      <c r="T130" s="89"/>
      <c r="U130" s="89"/>
      <c r="V130" s="89"/>
    </row>
    <row r="131" spans="1:22" ht="28" customHeight="1" x14ac:dyDescent="0.35">
      <c r="A131" s="262" t="s">
        <v>127</v>
      </c>
      <c r="B131" s="251" t="s">
        <v>128</v>
      </c>
      <c r="C131" s="56">
        <f>C132</f>
        <v>14571852</v>
      </c>
      <c r="D131" s="57">
        <f>D132</f>
        <v>0</v>
      </c>
      <c r="E131" s="58">
        <f>E132</f>
        <v>0</v>
      </c>
      <c r="F131" s="59" t="s">
        <v>129</v>
      </c>
      <c r="G131" s="58">
        <f t="shared" si="72"/>
        <v>40759351</v>
      </c>
      <c r="H131" s="58">
        <f t="shared" si="73"/>
        <v>33318090</v>
      </c>
      <c r="I131" s="58">
        <f t="shared" si="73"/>
        <v>7441261</v>
      </c>
      <c r="J131" s="58">
        <f>J132</f>
        <v>40759351</v>
      </c>
      <c r="K131" s="58">
        <f t="shared" ref="K131:Q131" si="83">K132</f>
        <v>33318090</v>
      </c>
      <c r="L131" s="58">
        <f t="shared" si="83"/>
        <v>7441261</v>
      </c>
      <c r="M131" s="58">
        <f t="shared" si="83"/>
        <v>0</v>
      </c>
      <c r="N131" s="58">
        <f t="shared" si="83"/>
        <v>0</v>
      </c>
      <c r="O131" s="58">
        <f t="shared" si="83"/>
        <v>0</v>
      </c>
      <c r="P131" s="58">
        <f t="shared" si="83"/>
        <v>0</v>
      </c>
      <c r="Q131" s="58">
        <f t="shared" si="83"/>
        <v>0</v>
      </c>
      <c r="R131" s="89"/>
      <c r="S131" s="89"/>
      <c r="T131" s="89"/>
      <c r="U131" s="89"/>
      <c r="V131" s="89"/>
    </row>
    <row r="132" spans="1:22" ht="28" customHeight="1" x14ac:dyDescent="0.35">
      <c r="A132" s="262"/>
      <c r="B132" s="251"/>
      <c r="C132" s="69">
        <f>G134+G135</f>
        <v>14571852</v>
      </c>
      <c r="D132" s="60">
        <v>0</v>
      </c>
      <c r="E132" s="60">
        <v>0</v>
      </c>
      <c r="F132" s="61" t="s">
        <v>107</v>
      </c>
      <c r="G132" s="60">
        <f t="shared" si="72"/>
        <v>40759351</v>
      </c>
      <c r="H132" s="60">
        <f t="shared" si="73"/>
        <v>33318090</v>
      </c>
      <c r="I132" s="60">
        <f t="shared" si="73"/>
        <v>7441261</v>
      </c>
      <c r="J132" s="60">
        <f>J133+J134+J135</f>
        <v>40759351</v>
      </c>
      <c r="K132" s="60">
        <f t="shared" ref="K132:Q132" si="84">K133+K134+K135</f>
        <v>33318090</v>
      </c>
      <c r="L132" s="60">
        <f t="shared" si="84"/>
        <v>7441261</v>
      </c>
      <c r="M132" s="60">
        <f t="shared" si="84"/>
        <v>0</v>
      </c>
      <c r="N132" s="60">
        <f t="shared" si="84"/>
        <v>0</v>
      </c>
      <c r="O132" s="60">
        <f t="shared" si="84"/>
        <v>0</v>
      </c>
      <c r="P132" s="60">
        <f t="shared" si="84"/>
        <v>0</v>
      </c>
      <c r="Q132" s="60">
        <f t="shared" si="84"/>
        <v>0</v>
      </c>
      <c r="R132" s="89"/>
      <c r="S132" s="89"/>
      <c r="T132" s="89"/>
      <c r="U132" s="89"/>
      <c r="V132" s="89"/>
    </row>
    <row r="133" spans="1:22" ht="28" customHeight="1" x14ac:dyDescent="0.35">
      <c r="A133" s="262"/>
      <c r="B133" s="251"/>
      <c r="C133" s="78"/>
      <c r="D133" s="73"/>
      <c r="E133" s="73"/>
      <c r="F133" s="66" t="s">
        <v>108</v>
      </c>
      <c r="G133" s="67">
        <f t="shared" si="72"/>
        <v>26187499</v>
      </c>
      <c r="H133" s="67">
        <f t="shared" si="73"/>
        <v>19644192</v>
      </c>
      <c r="I133" s="67">
        <f t="shared" si="73"/>
        <v>6543307</v>
      </c>
      <c r="J133" s="67">
        <f>K133+L133</f>
        <v>26187499</v>
      </c>
      <c r="K133" s="67">
        <f>112462065-92817873</f>
        <v>19644192</v>
      </c>
      <c r="L133" s="67">
        <f>11748030-5204723</f>
        <v>6543307</v>
      </c>
      <c r="M133" s="67">
        <v>0</v>
      </c>
      <c r="N133" s="67">
        <f>O133+P133</f>
        <v>0</v>
      </c>
      <c r="O133" s="67">
        <v>0</v>
      </c>
      <c r="P133" s="67">
        <v>0</v>
      </c>
      <c r="Q133" s="67">
        <v>0</v>
      </c>
      <c r="R133" s="89"/>
      <c r="S133" s="89"/>
      <c r="T133" s="89"/>
      <c r="U133" s="89"/>
      <c r="V133" s="89"/>
    </row>
    <row r="134" spans="1:22" ht="28" customHeight="1" x14ac:dyDescent="0.35">
      <c r="A134" s="262"/>
      <c r="B134" s="251"/>
      <c r="C134" s="78"/>
      <c r="D134" s="73"/>
      <c r="E134" s="73"/>
      <c r="F134" s="66" t="s">
        <v>113</v>
      </c>
      <c r="G134" s="71">
        <f t="shared" si="72"/>
        <v>8027358</v>
      </c>
      <c r="H134" s="71">
        <f t="shared" si="73"/>
        <v>7249403</v>
      </c>
      <c r="I134" s="71">
        <f t="shared" si="73"/>
        <v>777955</v>
      </c>
      <c r="J134" s="71">
        <f>K134+L134</f>
        <v>8027358</v>
      </c>
      <c r="K134" s="71">
        <f>8901684-871577-1000000+219296</f>
        <v>7249403</v>
      </c>
      <c r="L134" s="71">
        <f>7777955-7000000</f>
        <v>777955</v>
      </c>
      <c r="M134" s="71">
        <v>0</v>
      </c>
      <c r="N134" s="71">
        <f>O134+P134</f>
        <v>0</v>
      </c>
      <c r="O134" s="71">
        <v>0</v>
      </c>
      <c r="P134" s="71">
        <v>0</v>
      </c>
      <c r="Q134" s="71">
        <v>0</v>
      </c>
      <c r="R134" s="89"/>
      <c r="S134" s="89"/>
      <c r="T134" s="89"/>
      <c r="U134" s="89"/>
      <c r="V134" s="89"/>
    </row>
    <row r="135" spans="1:22" ht="28" customHeight="1" x14ac:dyDescent="0.35">
      <c r="A135" s="262"/>
      <c r="B135" s="251"/>
      <c r="C135" s="78"/>
      <c r="D135" s="73"/>
      <c r="E135" s="73"/>
      <c r="F135" s="66" t="s">
        <v>114</v>
      </c>
      <c r="G135" s="71">
        <f t="shared" si="72"/>
        <v>6544494</v>
      </c>
      <c r="H135" s="71">
        <f t="shared" si="73"/>
        <v>6424495</v>
      </c>
      <c r="I135" s="71">
        <f t="shared" si="73"/>
        <v>119999</v>
      </c>
      <c r="J135" s="71">
        <f>K135+L135</f>
        <v>6544494</v>
      </c>
      <c r="K135" s="71">
        <f>5103806+1394467-634291+560513</f>
        <v>6424495</v>
      </c>
      <c r="L135" s="71">
        <f>1451845+516225-1848071</f>
        <v>119999</v>
      </c>
      <c r="M135" s="71">
        <v>0</v>
      </c>
      <c r="N135" s="71">
        <f>O135+P135</f>
        <v>0</v>
      </c>
      <c r="O135" s="71">
        <v>0</v>
      </c>
      <c r="P135" s="71">
        <v>0</v>
      </c>
      <c r="Q135" s="71">
        <v>0</v>
      </c>
      <c r="R135" s="89"/>
      <c r="S135" s="89"/>
      <c r="T135" s="89"/>
      <c r="U135" s="89"/>
      <c r="V135" s="89"/>
    </row>
    <row r="136" spans="1:22" ht="28" customHeight="1" x14ac:dyDescent="0.35">
      <c r="A136" s="262" t="s">
        <v>130</v>
      </c>
      <c r="B136" s="251" t="s">
        <v>131</v>
      </c>
      <c r="C136" s="56">
        <f>C137</f>
        <v>0</v>
      </c>
      <c r="D136" s="57">
        <f>D137</f>
        <v>0</v>
      </c>
      <c r="E136" s="58">
        <f>E137</f>
        <v>0</v>
      </c>
      <c r="F136" s="59" t="s">
        <v>132</v>
      </c>
      <c r="G136" s="58">
        <f t="shared" si="72"/>
        <v>142876562</v>
      </c>
      <c r="H136" s="58">
        <f t="shared" si="73"/>
        <v>134658332</v>
      </c>
      <c r="I136" s="58">
        <f t="shared" si="73"/>
        <v>8218230</v>
      </c>
      <c r="J136" s="58">
        <f>J137</f>
        <v>142876562</v>
      </c>
      <c r="K136" s="58">
        <f t="shared" ref="K136:Q137" si="85">K137</f>
        <v>134658332</v>
      </c>
      <c r="L136" s="58">
        <f t="shared" si="85"/>
        <v>8218230</v>
      </c>
      <c r="M136" s="58">
        <f t="shared" si="85"/>
        <v>0</v>
      </c>
      <c r="N136" s="58">
        <f t="shared" si="85"/>
        <v>0</v>
      </c>
      <c r="O136" s="58">
        <f t="shared" si="85"/>
        <v>0</v>
      </c>
      <c r="P136" s="58">
        <f t="shared" si="85"/>
        <v>0</v>
      </c>
      <c r="Q136" s="58">
        <f t="shared" si="85"/>
        <v>0</v>
      </c>
      <c r="R136" s="89"/>
      <c r="S136" s="89"/>
      <c r="T136" s="89"/>
      <c r="U136" s="89"/>
      <c r="V136" s="89"/>
    </row>
    <row r="137" spans="1:22" ht="28" customHeight="1" x14ac:dyDescent="0.35">
      <c r="A137" s="262"/>
      <c r="B137" s="251"/>
      <c r="C137" s="60">
        <v>0</v>
      </c>
      <c r="D137" s="60">
        <v>0</v>
      </c>
      <c r="E137" s="60">
        <v>0</v>
      </c>
      <c r="F137" s="61" t="s">
        <v>107</v>
      </c>
      <c r="G137" s="60">
        <f t="shared" si="72"/>
        <v>142876562</v>
      </c>
      <c r="H137" s="60">
        <f t="shared" si="73"/>
        <v>134658332</v>
      </c>
      <c r="I137" s="60">
        <f t="shared" si="73"/>
        <v>8218230</v>
      </c>
      <c r="J137" s="60">
        <f>J138</f>
        <v>142876562</v>
      </c>
      <c r="K137" s="60">
        <f t="shared" si="85"/>
        <v>134658332</v>
      </c>
      <c r="L137" s="60">
        <f t="shared" si="85"/>
        <v>8218230</v>
      </c>
      <c r="M137" s="60">
        <f t="shared" si="85"/>
        <v>0</v>
      </c>
      <c r="N137" s="60">
        <f t="shared" si="85"/>
        <v>0</v>
      </c>
      <c r="O137" s="60">
        <f t="shared" si="85"/>
        <v>0</v>
      </c>
      <c r="P137" s="60">
        <f t="shared" si="85"/>
        <v>0</v>
      </c>
      <c r="Q137" s="60">
        <f t="shared" si="85"/>
        <v>0</v>
      </c>
      <c r="R137" s="89"/>
      <c r="S137" s="89"/>
      <c r="T137" s="89"/>
      <c r="U137" s="89"/>
      <c r="V137" s="89"/>
    </row>
    <row r="138" spans="1:22" ht="28" customHeight="1" x14ac:dyDescent="0.35">
      <c r="A138" s="262"/>
      <c r="B138" s="251"/>
      <c r="C138" s="90"/>
      <c r="D138" s="73"/>
      <c r="E138" s="73"/>
      <c r="F138" s="66" t="s">
        <v>108</v>
      </c>
      <c r="G138" s="67">
        <f t="shared" si="72"/>
        <v>142876562</v>
      </c>
      <c r="H138" s="67">
        <f t="shared" si="73"/>
        <v>134658332</v>
      </c>
      <c r="I138" s="67">
        <f t="shared" si="73"/>
        <v>8218230</v>
      </c>
      <c r="J138" s="67">
        <f>K138+L138</f>
        <v>142876562</v>
      </c>
      <c r="K138" s="67">
        <f>114551649+20106683</f>
        <v>134658332</v>
      </c>
      <c r="L138" s="67">
        <f>28054000-19835770</f>
        <v>8218230</v>
      </c>
      <c r="M138" s="67">
        <v>0</v>
      </c>
      <c r="N138" s="67">
        <f>O138+P138</f>
        <v>0</v>
      </c>
      <c r="O138" s="67">
        <v>0</v>
      </c>
      <c r="P138" s="67">
        <v>0</v>
      </c>
      <c r="Q138" s="67">
        <v>0</v>
      </c>
      <c r="R138" s="89"/>
      <c r="S138" s="89"/>
      <c r="T138" s="89"/>
      <c r="U138" s="89"/>
      <c r="V138" s="89"/>
    </row>
    <row r="139" spans="1:22" ht="28" customHeight="1" x14ac:dyDescent="0.35">
      <c r="A139" s="262" t="s">
        <v>133</v>
      </c>
      <c r="B139" s="251" t="s">
        <v>134</v>
      </c>
      <c r="C139" s="56">
        <f>C140</f>
        <v>0</v>
      </c>
      <c r="D139" s="57">
        <f>D140</f>
        <v>0</v>
      </c>
      <c r="E139" s="58">
        <f>E140</f>
        <v>0</v>
      </c>
      <c r="F139" s="59" t="s">
        <v>135</v>
      </c>
      <c r="G139" s="58">
        <f t="shared" si="72"/>
        <v>10000000</v>
      </c>
      <c r="H139" s="58">
        <f t="shared" si="73"/>
        <v>10000000</v>
      </c>
      <c r="I139" s="58">
        <f t="shared" si="73"/>
        <v>0</v>
      </c>
      <c r="J139" s="58">
        <f>J140</f>
        <v>10000000</v>
      </c>
      <c r="K139" s="58">
        <f t="shared" ref="K139:Q140" si="86">K140</f>
        <v>10000000</v>
      </c>
      <c r="L139" s="58">
        <f t="shared" si="86"/>
        <v>0</v>
      </c>
      <c r="M139" s="58">
        <f t="shared" si="86"/>
        <v>0</v>
      </c>
      <c r="N139" s="58">
        <f t="shared" si="86"/>
        <v>0</v>
      </c>
      <c r="O139" s="58">
        <f t="shared" si="86"/>
        <v>0</v>
      </c>
      <c r="P139" s="58">
        <f t="shared" si="86"/>
        <v>0</v>
      </c>
      <c r="Q139" s="58">
        <f t="shared" si="86"/>
        <v>0</v>
      </c>
      <c r="R139" s="89"/>
      <c r="S139" s="89"/>
      <c r="T139" s="89"/>
      <c r="U139" s="89"/>
      <c r="V139" s="89"/>
    </row>
    <row r="140" spans="1:22" ht="28" customHeight="1" x14ac:dyDescent="0.35">
      <c r="A140" s="262"/>
      <c r="B140" s="251"/>
      <c r="C140" s="60">
        <v>0</v>
      </c>
      <c r="D140" s="60">
        <v>0</v>
      </c>
      <c r="E140" s="60">
        <v>0</v>
      </c>
      <c r="F140" s="61" t="s">
        <v>107</v>
      </c>
      <c r="G140" s="60">
        <f t="shared" si="72"/>
        <v>10000000</v>
      </c>
      <c r="H140" s="60">
        <f t="shared" si="73"/>
        <v>10000000</v>
      </c>
      <c r="I140" s="60">
        <f t="shared" si="73"/>
        <v>0</v>
      </c>
      <c r="J140" s="60">
        <f>J141</f>
        <v>10000000</v>
      </c>
      <c r="K140" s="60">
        <f t="shared" si="86"/>
        <v>10000000</v>
      </c>
      <c r="L140" s="60">
        <f t="shared" si="86"/>
        <v>0</v>
      </c>
      <c r="M140" s="60">
        <f t="shared" si="86"/>
        <v>0</v>
      </c>
      <c r="N140" s="60">
        <f t="shared" si="86"/>
        <v>0</v>
      </c>
      <c r="O140" s="60">
        <f t="shared" si="86"/>
        <v>0</v>
      </c>
      <c r="P140" s="60">
        <f t="shared" si="86"/>
        <v>0</v>
      </c>
      <c r="Q140" s="60">
        <f t="shared" si="86"/>
        <v>0</v>
      </c>
      <c r="R140" s="89"/>
      <c r="S140" s="89"/>
      <c r="T140" s="89"/>
      <c r="U140" s="89"/>
      <c r="V140" s="89"/>
    </row>
    <row r="141" spans="1:22" ht="28" customHeight="1" x14ac:dyDescent="0.35">
      <c r="A141" s="262"/>
      <c r="B141" s="251"/>
      <c r="C141" s="90"/>
      <c r="D141" s="73"/>
      <c r="E141" s="73"/>
      <c r="F141" s="66" t="s">
        <v>108</v>
      </c>
      <c r="G141" s="67">
        <f t="shared" si="72"/>
        <v>10000000</v>
      </c>
      <c r="H141" s="67">
        <f t="shared" si="73"/>
        <v>10000000</v>
      </c>
      <c r="I141" s="67">
        <f t="shared" si="73"/>
        <v>0</v>
      </c>
      <c r="J141" s="67">
        <f>K141+L141</f>
        <v>10000000</v>
      </c>
      <c r="K141" s="67">
        <f>13096436-3096436</f>
        <v>10000000</v>
      </c>
      <c r="L141" s="67">
        <v>0</v>
      </c>
      <c r="M141" s="67">
        <v>0</v>
      </c>
      <c r="N141" s="67">
        <f>O141+P141</f>
        <v>0</v>
      </c>
      <c r="O141" s="67">
        <v>0</v>
      </c>
      <c r="P141" s="67">
        <v>0</v>
      </c>
      <c r="Q141" s="67">
        <v>0</v>
      </c>
      <c r="R141" s="89"/>
      <c r="S141" s="89"/>
      <c r="T141" s="89"/>
      <c r="U141" s="89"/>
      <c r="V141" s="89"/>
    </row>
    <row r="142" spans="1:22" ht="52" x14ac:dyDescent="0.35">
      <c r="A142" s="87" t="s">
        <v>136</v>
      </c>
      <c r="B142" s="88" t="s">
        <v>137</v>
      </c>
      <c r="C142" s="52">
        <f t="shared" ref="C142:E143" si="87">C143</f>
        <v>0</v>
      </c>
      <c r="D142" s="52">
        <f t="shared" si="87"/>
        <v>0</v>
      </c>
      <c r="E142" s="53">
        <f t="shared" si="87"/>
        <v>0</v>
      </c>
      <c r="F142" s="54" t="s">
        <v>138</v>
      </c>
      <c r="G142" s="52">
        <f t="shared" si="72"/>
        <v>13917201</v>
      </c>
      <c r="H142" s="52">
        <f t="shared" si="73"/>
        <v>12964235</v>
      </c>
      <c r="I142" s="52">
        <f t="shared" si="73"/>
        <v>952966</v>
      </c>
      <c r="J142" s="52">
        <f>J143</f>
        <v>13917201</v>
      </c>
      <c r="K142" s="52">
        <f t="shared" ref="K142:Q144" si="88">K143</f>
        <v>12964235</v>
      </c>
      <c r="L142" s="52">
        <f t="shared" si="88"/>
        <v>952966</v>
      </c>
      <c r="M142" s="52">
        <f t="shared" si="88"/>
        <v>0</v>
      </c>
      <c r="N142" s="52">
        <f t="shared" si="88"/>
        <v>0</v>
      </c>
      <c r="O142" s="52">
        <f t="shared" si="88"/>
        <v>0</v>
      </c>
      <c r="P142" s="52">
        <f t="shared" si="88"/>
        <v>0</v>
      </c>
      <c r="Q142" s="52">
        <f t="shared" si="88"/>
        <v>0</v>
      </c>
      <c r="R142" s="89"/>
      <c r="S142" s="89"/>
      <c r="T142" s="89"/>
      <c r="U142" s="89"/>
      <c r="V142" s="89"/>
    </row>
    <row r="143" spans="1:22" ht="28" customHeight="1" x14ac:dyDescent="0.35">
      <c r="A143" s="262" t="s">
        <v>139</v>
      </c>
      <c r="B143" s="251" t="s">
        <v>140</v>
      </c>
      <c r="C143" s="56">
        <f t="shared" si="87"/>
        <v>0</v>
      </c>
      <c r="D143" s="57">
        <f t="shared" si="87"/>
        <v>0</v>
      </c>
      <c r="E143" s="58">
        <f t="shared" si="87"/>
        <v>0</v>
      </c>
      <c r="F143" s="59" t="s">
        <v>141</v>
      </c>
      <c r="G143" s="58">
        <f t="shared" si="72"/>
        <v>13917201</v>
      </c>
      <c r="H143" s="58">
        <f t="shared" si="73"/>
        <v>12964235</v>
      </c>
      <c r="I143" s="58">
        <f t="shared" si="73"/>
        <v>952966</v>
      </c>
      <c r="J143" s="58">
        <f>J144</f>
        <v>13917201</v>
      </c>
      <c r="K143" s="58">
        <f t="shared" si="88"/>
        <v>12964235</v>
      </c>
      <c r="L143" s="58">
        <f t="shared" si="88"/>
        <v>952966</v>
      </c>
      <c r="M143" s="58">
        <f t="shared" si="88"/>
        <v>0</v>
      </c>
      <c r="N143" s="58">
        <f t="shared" si="88"/>
        <v>0</v>
      </c>
      <c r="O143" s="58">
        <f t="shared" si="88"/>
        <v>0</v>
      </c>
      <c r="P143" s="58">
        <f t="shared" si="88"/>
        <v>0</v>
      </c>
      <c r="Q143" s="58">
        <f t="shared" si="88"/>
        <v>0</v>
      </c>
      <c r="R143" s="89"/>
      <c r="S143" s="89"/>
      <c r="T143" s="89"/>
      <c r="U143" s="89"/>
      <c r="V143" s="89"/>
    </row>
    <row r="144" spans="1:22" ht="28" customHeight="1" x14ac:dyDescent="0.35">
      <c r="A144" s="262"/>
      <c r="B144" s="251"/>
      <c r="C144" s="60">
        <v>0</v>
      </c>
      <c r="D144" s="60">
        <v>0</v>
      </c>
      <c r="E144" s="60">
        <v>0</v>
      </c>
      <c r="F144" s="61" t="s">
        <v>107</v>
      </c>
      <c r="G144" s="60">
        <f t="shared" si="72"/>
        <v>13917201</v>
      </c>
      <c r="H144" s="60">
        <f t="shared" si="73"/>
        <v>12964235</v>
      </c>
      <c r="I144" s="60">
        <f t="shared" si="73"/>
        <v>952966</v>
      </c>
      <c r="J144" s="60">
        <f>J145</f>
        <v>13917201</v>
      </c>
      <c r="K144" s="60">
        <f t="shared" si="88"/>
        <v>12964235</v>
      </c>
      <c r="L144" s="60">
        <f t="shared" si="88"/>
        <v>952966</v>
      </c>
      <c r="M144" s="60">
        <f t="shared" si="88"/>
        <v>0</v>
      </c>
      <c r="N144" s="60">
        <f t="shared" si="88"/>
        <v>0</v>
      </c>
      <c r="O144" s="60">
        <f t="shared" si="88"/>
        <v>0</v>
      </c>
      <c r="P144" s="60">
        <f t="shared" si="88"/>
        <v>0</v>
      </c>
      <c r="Q144" s="60">
        <f t="shared" si="88"/>
        <v>0</v>
      </c>
      <c r="R144" s="89"/>
      <c r="S144" s="89"/>
      <c r="T144" s="89"/>
      <c r="U144" s="89"/>
      <c r="V144" s="89"/>
    </row>
    <row r="145" spans="1:22" ht="28" customHeight="1" x14ac:dyDescent="0.35">
      <c r="A145" s="262"/>
      <c r="B145" s="251"/>
      <c r="C145" s="90"/>
      <c r="D145" s="73"/>
      <c r="E145" s="19"/>
      <c r="F145" s="66" t="s">
        <v>108</v>
      </c>
      <c r="G145" s="67">
        <f t="shared" si="72"/>
        <v>13917201</v>
      </c>
      <c r="H145" s="67">
        <f t="shared" si="73"/>
        <v>12964235</v>
      </c>
      <c r="I145" s="67">
        <f t="shared" si="73"/>
        <v>952966</v>
      </c>
      <c r="J145" s="67">
        <f>K145+L145</f>
        <v>13917201</v>
      </c>
      <c r="K145" s="67">
        <f>24704700-11740465</f>
        <v>12964235</v>
      </c>
      <c r="L145" s="67">
        <f>9195300-8242334</f>
        <v>952966</v>
      </c>
      <c r="M145" s="67">
        <v>0</v>
      </c>
      <c r="N145" s="67">
        <f>O145+P145</f>
        <v>0</v>
      </c>
      <c r="O145" s="67">
        <v>0</v>
      </c>
      <c r="P145" s="67">
        <v>0</v>
      </c>
      <c r="Q145" s="67">
        <v>0</v>
      </c>
      <c r="R145" s="89"/>
      <c r="S145" s="89"/>
      <c r="T145" s="89"/>
      <c r="U145" s="89"/>
      <c r="V145" s="89"/>
    </row>
    <row r="146" spans="1:22" ht="30" customHeight="1" x14ac:dyDescent="0.35">
      <c r="A146" s="45" t="s">
        <v>142</v>
      </c>
      <c r="B146" s="46" t="s">
        <v>143</v>
      </c>
      <c r="C146" s="47">
        <f>C147+C177+C228+C257</f>
        <v>350509716</v>
      </c>
      <c r="D146" s="47">
        <f>D147+D177+D228+D257</f>
        <v>71300000</v>
      </c>
      <c r="E146" s="48">
        <f>E147+E177+E228+E257</f>
        <v>40000000</v>
      </c>
      <c r="F146" s="49"/>
      <c r="G146" s="48">
        <f>G147+G177+G228+G257</f>
        <v>1848486069</v>
      </c>
      <c r="H146" s="48">
        <f t="shared" ref="H146:Q146" si="89">H147+H177+H228+H257</f>
        <v>1072268007</v>
      </c>
      <c r="I146" s="48">
        <f t="shared" si="89"/>
        <v>58919142</v>
      </c>
      <c r="J146" s="48">
        <f>J147+J177+J228+J257</f>
        <v>1131187149</v>
      </c>
      <c r="K146" s="48">
        <f t="shared" si="89"/>
        <v>1072268007</v>
      </c>
      <c r="L146" s="48">
        <f t="shared" si="89"/>
        <v>58919142</v>
      </c>
      <c r="M146" s="48">
        <f t="shared" si="89"/>
        <v>717298920</v>
      </c>
      <c r="N146" s="48">
        <f t="shared" si="89"/>
        <v>0</v>
      </c>
      <c r="O146" s="48">
        <f t="shared" si="89"/>
        <v>0</v>
      </c>
      <c r="P146" s="48">
        <f t="shared" si="89"/>
        <v>0</v>
      </c>
      <c r="Q146" s="48">
        <f t="shared" si="89"/>
        <v>0</v>
      </c>
      <c r="R146" s="89"/>
      <c r="S146" s="89"/>
      <c r="T146" s="89"/>
      <c r="U146" s="89"/>
      <c r="V146" s="89"/>
    </row>
    <row r="147" spans="1:22" ht="78" x14ac:dyDescent="0.35">
      <c r="A147" s="87" t="s">
        <v>144</v>
      </c>
      <c r="B147" s="88" t="s">
        <v>145</v>
      </c>
      <c r="C147" s="52">
        <f>C148+C153+C156+C159+C162+C165+C168+C171+C174</f>
        <v>31905764</v>
      </c>
      <c r="D147" s="52">
        <f>D148+D153+D156+D159+D162+D165+D168+D171+D174</f>
        <v>0</v>
      </c>
      <c r="E147" s="53">
        <f>E148+E153+E156+E159+E162+E165+E168+E171+E174</f>
        <v>0</v>
      </c>
      <c r="F147" s="54" t="s">
        <v>146</v>
      </c>
      <c r="G147" s="52">
        <f>J147+M147+N147+Q147</f>
        <v>274287811</v>
      </c>
      <c r="H147" s="52">
        <f>K147+O147</f>
        <v>130628585</v>
      </c>
      <c r="I147" s="52">
        <f>L147+P147</f>
        <v>0</v>
      </c>
      <c r="J147" s="52">
        <f>J148+J153+J156+J159+J162+J165+J168+J171+J174</f>
        <v>130628585</v>
      </c>
      <c r="K147" s="52">
        <f t="shared" ref="K147:Q147" si="90">K148+K153+K156+K159+K162+K165+K168+K171+K174</f>
        <v>130628585</v>
      </c>
      <c r="L147" s="52">
        <f t="shared" si="90"/>
        <v>0</v>
      </c>
      <c r="M147" s="52">
        <f t="shared" si="90"/>
        <v>143659226</v>
      </c>
      <c r="N147" s="52">
        <f t="shared" si="90"/>
        <v>0</v>
      </c>
      <c r="O147" s="52">
        <f t="shared" si="90"/>
        <v>0</v>
      </c>
      <c r="P147" s="52">
        <f t="shared" si="90"/>
        <v>0</v>
      </c>
      <c r="Q147" s="52">
        <f t="shared" si="90"/>
        <v>0</v>
      </c>
      <c r="R147" s="89"/>
      <c r="S147" s="89"/>
      <c r="T147" s="89"/>
      <c r="U147" s="89"/>
      <c r="V147" s="89"/>
    </row>
    <row r="148" spans="1:22" ht="28" customHeight="1" x14ac:dyDescent="0.35">
      <c r="A148" s="267" t="s">
        <v>147</v>
      </c>
      <c r="B148" s="215" t="s">
        <v>148</v>
      </c>
      <c r="C148" s="56">
        <f>C149</f>
        <v>31905764</v>
      </c>
      <c r="D148" s="57">
        <f>D149</f>
        <v>0</v>
      </c>
      <c r="E148" s="58">
        <f>E149</f>
        <v>0</v>
      </c>
      <c r="F148" s="59" t="s">
        <v>149</v>
      </c>
      <c r="G148" s="58">
        <f t="shared" ref="G148:G176" si="91">J148+M148+N148+Q148</f>
        <v>96999749</v>
      </c>
      <c r="H148" s="58">
        <f t="shared" ref="H148:I176" si="92">K148+O148</f>
        <v>31905764</v>
      </c>
      <c r="I148" s="58">
        <f t="shared" si="92"/>
        <v>0</v>
      </c>
      <c r="J148" s="58">
        <f>J149</f>
        <v>31905764</v>
      </c>
      <c r="K148" s="58">
        <f t="shared" ref="K148:Q148" si="93">K149</f>
        <v>31905764</v>
      </c>
      <c r="L148" s="58">
        <f t="shared" si="93"/>
        <v>0</v>
      </c>
      <c r="M148" s="58">
        <f t="shared" si="93"/>
        <v>65093985</v>
      </c>
      <c r="N148" s="58">
        <f t="shared" si="93"/>
        <v>0</v>
      </c>
      <c r="O148" s="58">
        <f t="shared" si="93"/>
        <v>0</v>
      </c>
      <c r="P148" s="58">
        <f t="shared" si="93"/>
        <v>0</v>
      </c>
      <c r="Q148" s="58">
        <f t="shared" si="93"/>
        <v>0</v>
      </c>
      <c r="R148" s="89"/>
      <c r="S148" s="89"/>
      <c r="T148" s="89"/>
      <c r="U148" s="89"/>
      <c r="V148" s="89"/>
    </row>
    <row r="149" spans="1:22" ht="28" customHeight="1" x14ac:dyDescent="0.35">
      <c r="A149" s="267"/>
      <c r="B149" s="215"/>
      <c r="C149" s="99">
        <f>G151+G152</f>
        <v>31905764</v>
      </c>
      <c r="D149" s="60">
        <v>0</v>
      </c>
      <c r="E149" s="60">
        <v>0</v>
      </c>
      <c r="F149" s="61" t="s">
        <v>150</v>
      </c>
      <c r="G149" s="60">
        <f t="shared" si="91"/>
        <v>96999749</v>
      </c>
      <c r="H149" s="60">
        <f t="shared" si="92"/>
        <v>31905764</v>
      </c>
      <c r="I149" s="60">
        <f t="shared" si="92"/>
        <v>0</v>
      </c>
      <c r="J149" s="60">
        <f>J150+J151+J152</f>
        <v>31905764</v>
      </c>
      <c r="K149" s="60">
        <f t="shared" ref="K149:Q149" si="94">K150+K151+K152</f>
        <v>31905764</v>
      </c>
      <c r="L149" s="60">
        <f t="shared" si="94"/>
        <v>0</v>
      </c>
      <c r="M149" s="60">
        <f t="shared" si="94"/>
        <v>65093985</v>
      </c>
      <c r="N149" s="60">
        <f t="shared" si="94"/>
        <v>0</v>
      </c>
      <c r="O149" s="60">
        <f t="shared" si="94"/>
        <v>0</v>
      </c>
      <c r="P149" s="60">
        <f t="shared" si="94"/>
        <v>0</v>
      </c>
      <c r="Q149" s="60">
        <f t="shared" si="94"/>
        <v>0</v>
      </c>
      <c r="R149" s="89"/>
      <c r="S149" s="89"/>
      <c r="T149" s="89"/>
      <c r="U149" s="89"/>
      <c r="V149" s="89"/>
    </row>
    <row r="150" spans="1:22" ht="28" customHeight="1" x14ac:dyDescent="0.35">
      <c r="A150" s="267"/>
      <c r="B150" s="215"/>
      <c r="C150" s="78"/>
      <c r="D150" s="73"/>
      <c r="E150" s="19"/>
      <c r="F150" s="66" t="s">
        <v>151</v>
      </c>
      <c r="G150" s="67">
        <f t="shared" si="91"/>
        <v>65093985</v>
      </c>
      <c r="H150" s="67">
        <f t="shared" si="92"/>
        <v>0</v>
      </c>
      <c r="I150" s="67">
        <f t="shared" si="92"/>
        <v>0</v>
      </c>
      <c r="J150" s="67">
        <f>K150+L150</f>
        <v>0</v>
      </c>
      <c r="K150" s="67">
        <v>0</v>
      </c>
      <c r="L150" s="67">
        <v>0</v>
      </c>
      <c r="M150" s="67">
        <v>65093985</v>
      </c>
      <c r="N150" s="67">
        <f>O150+P150</f>
        <v>0</v>
      </c>
      <c r="O150" s="67">
        <v>0</v>
      </c>
      <c r="P150" s="67">
        <v>0</v>
      </c>
      <c r="Q150" s="67">
        <v>0</v>
      </c>
      <c r="R150" s="89"/>
      <c r="S150" s="89"/>
      <c r="T150" s="89"/>
      <c r="U150" s="89"/>
      <c r="V150" s="89"/>
    </row>
    <row r="151" spans="1:22" ht="28" customHeight="1" x14ac:dyDescent="0.35">
      <c r="A151" s="267"/>
      <c r="B151" s="215"/>
      <c r="C151" s="100"/>
      <c r="D151" s="73"/>
      <c r="E151" s="19"/>
      <c r="F151" s="66" t="s">
        <v>152</v>
      </c>
      <c r="G151" s="71">
        <f t="shared" si="91"/>
        <v>11051000</v>
      </c>
      <c r="H151" s="71">
        <f t="shared" si="92"/>
        <v>11051000</v>
      </c>
      <c r="I151" s="71">
        <f t="shared" si="92"/>
        <v>0</v>
      </c>
      <c r="J151" s="71">
        <f>K151+L151</f>
        <v>11051000</v>
      </c>
      <c r="K151" s="71">
        <f>10659000-543639-289549+1225188</f>
        <v>11051000</v>
      </c>
      <c r="L151" s="71">
        <v>0</v>
      </c>
      <c r="M151" s="71">
        <v>0</v>
      </c>
      <c r="N151" s="71">
        <f>O151+P151</f>
        <v>0</v>
      </c>
      <c r="O151" s="71">
        <v>0</v>
      </c>
      <c r="P151" s="71">
        <v>0</v>
      </c>
      <c r="Q151" s="71">
        <v>0</v>
      </c>
      <c r="R151" s="89"/>
      <c r="S151" s="89"/>
      <c r="T151" s="89"/>
      <c r="U151" s="89"/>
      <c r="V151" s="89"/>
    </row>
    <row r="152" spans="1:22" ht="28" customHeight="1" x14ac:dyDescent="0.35">
      <c r="A152" s="267"/>
      <c r="B152" s="215"/>
      <c r="C152" s="100"/>
      <c r="D152" s="73"/>
      <c r="E152" s="19"/>
      <c r="F152" s="66" t="s">
        <v>153</v>
      </c>
      <c r="G152" s="71">
        <f t="shared" si="91"/>
        <v>20854764</v>
      </c>
      <c r="H152" s="71">
        <f t="shared" si="92"/>
        <v>20854764</v>
      </c>
      <c r="I152" s="71">
        <f t="shared" si="92"/>
        <v>0</v>
      </c>
      <c r="J152" s="71">
        <f>K152+L152</f>
        <v>20854764</v>
      </c>
      <c r="K152" s="71">
        <f>52041000+136926+113252+269118+43182-22339833-3476089-5932792</f>
        <v>20854764</v>
      </c>
      <c r="L152" s="71">
        <v>0</v>
      </c>
      <c r="M152" s="71">
        <v>0</v>
      </c>
      <c r="N152" s="71">
        <f>O152+P152</f>
        <v>0</v>
      </c>
      <c r="O152" s="71">
        <v>0</v>
      </c>
      <c r="P152" s="71">
        <v>0</v>
      </c>
      <c r="Q152" s="71">
        <v>0</v>
      </c>
      <c r="R152" s="89"/>
      <c r="S152" s="89"/>
      <c r="T152" s="89"/>
      <c r="U152" s="89"/>
      <c r="V152" s="89"/>
    </row>
    <row r="153" spans="1:22" ht="28" customHeight="1" x14ac:dyDescent="0.35">
      <c r="A153" s="262" t="s">
        <v>154</v>
      </c>
      <c r="B153" s="265" t="s">
        <v>155</v>
      </c>
      <c r="C153" s="56">
        <f>C154</f>
        <v>0</v>
      </c>
      <c r="D153" s="57">
        <f>D154</f>
        <v>0</v>
      </c>
      <c r="E153" s="58">
        <f>E154</f>
        <v>0</v>
      </c>
      <c r="F153" s="59" t="s">
        <v>156</v>
      </c>
      <c r="G153" s="58">
        <f t="shared" si="91"/>
        <v>5600000</v>
      </c>
      <c r="H153" s="58">
        <f t="shared" si="92"/>
        <v>0</v>
      </c>
      <c r="I153" s="58">
        <f t="shared" si="92"/>
        <v>0</v>
      </c>
      <c r="J153" s="58">
        <f>J154</f>
        <v>0</v>
      </c>
      <c r="K153" s="58">
        <f t="shared" ref="K153:Q154" si="95">K154</f>
        <v>0</v>
      </c>
      <c r="L153" s="58">
        <f t="shared" si="95"/>
        <v>0</v>
      </c>
      <c r="M153" s="58">
        <f t="shared" si="95"/>
        <v>5600000</v>
      </c>
      <c r="N153" s="58">
        <f t="shared" si="95"/>
        <v>0</v>
      </c>
      <c r="O153" s="58">
        <f t="shared" si="95"/>
        <v>0</v>
      </c>
      <c r="P153" s="58">
        <f t="shared" si="95"/>
        <v>0</v>
      </c>
      <c r="Q153" s="58">
        <f t="shared" si="95"/>
        <v>0</v>
      </c>
      <c r="R153" s="89"/>
      <c r="S153" s="89"/>
      <c r="T153" s="89"/>
      <c r="U153" s="89"/>
      <c r="V153" s="89"/>
    </row>
    <row r="154" spans="1:22" ht="28" customHeight="1" x14ac:dyDescent="0.35">
      <c r="A154" s="262"/>
      <c r="B154" s="265"/>
      <c r="C154" s="60">
        <v>0</v>
      </c>
      <c r="D154" s="60">
        <v>0</v>
      </c>
      <c r="E154" s="60">
        <v>0</v>
      </c>
      <c r="F154" s="61" t="s">
        <v>150</v>
      </c>
      <c r="G154" s="60">
        <f t="shared" si="91"/>
        <v>5600000</v>
      </c>
      <c r="H154" s="60">
        <f t="shared" si="92"/>
        <v>0</v>
      </c>
      <c r="I154" s="60">
        <f t="shared" si="92"/>
        <v>0</v>
      </c>
      <c r="J154" s="60">
        <f>J155</f>
        <v>0</v>
      </c>
      <c r="K154" s="60">
        <f t="shared" si="95"/>
        <v>0</v>
      </c>
      <c r="L154" s="60">
        <f t="shared" si="95"/>
        <v>0</v>
      </c>
      <c r="M154" s="60">
        <f t="shared" si="95"/>
        <v>5600000</v>
      </c>
      <c r="N154" s="60">
        <f t="shared" si="95"/>
        <v>0</v>
      </c>
      <c r="O154" s="60">
        <f t="shared" si="95"/>
        <v>0</v>
      </c>
      <c r="P154" s="60">
        <f t="shared" si="95"/>
        <v>0</v>
      </c>
      <c r="Q154" s="60">
        <f t="shared" si="95"/>
        <v>0</v>
      </c>
      <c r="R154" s="89"/>
      <c r="S154" s="89"/>
      <c r="T154" s="89"/>
      <c r="U154" s="89"/>
      <c r="V154" s="89"/>
    </row>
    <row r="155" spans="1:22" ht="28" customHeight="1" x14ac:dyDescent="0.35">
      <c r="A155" s="262"/>
      <c r="B155" s="265"/>
      <c r="C155" s="101"/>
      <c r="D155" s="73"/>
      <c r="E155" s="19"/>
      <c r="F155" s="66" t="s">
        <v>151</v>
      </c>
      <c r="G155" s="67">
        <f t="shared" si="91"/>
        <v>5600000</v>
      </c>
      <c r="H155" s="67">
        <f t="shared" si="92"/>
        <v>0</v>
      </c>
      <c r="I155" s="67">
        <f t="shared" si="92"/>
        <v>0</v>
      </c>
      <c r="J155" s="67">
        <f>K155+L155</f>
        <v>0</v>
      </c>
      <c r="K155" s="67">
        <v>0</v>
      </c>
      <c r="L155" s="67">
        <v>0</v>
      </c>
      <c r="M155" s="67">
        <v>5600000</v>
      </c>
      <c r="N155" s="67">
        <f>O155+P155</f>
        <v>0</v>
      </c>
      <c r="O155" s="67">
        <v>0</v>
      </c>
      <c r="P155" s="67">
        <v>0</v>
      </c>
      <c r="Q155" s="67">
        <v>0</v>
      </c>
      <c r="R155" s="89"/>
      <c r="S155" s="89"/>
      <c r="T155" s="89"/>
      <c r="U155" s="89"/>
      <c r="V155" s="89"/>
    </row>
    <row r="156" spans="1:22" ht="28" customHeight="1" x14ac:dyDescent="0.35">
      <c r="A156" s="262" t="s">
        <v>157</v>
      </c>
      <c r="B156" s="265" t="s">
        <v>158</v>
      </c>
      <c r="C156" s="56">
        <f>C157</f>
        <v>0</v>
      </c>
      <c r="D156" s="57">
        <f>D157</f>
        <v>0</v>
      </c>
      <c r="E156" s="58">
        <f>E157</f>
        <v>0</v>
      </c>
      <c r="F156" s="59" t="s">
        <v>159</v>
      </c>
      <c r="G156" s="58">
        <f t="shared" si="91"/>
        <v>11700000</v>
      </c>
      <c r="H156" s="58">
        <f t="shared" si="92"/>
        <v>0</v>
      </c>
      <c r="I156" s="58">
        <f t="shared" si="92"/>
        <v>0</v>
      </c>
      <c r="J156" s="58">
        <f>J157</f>
        <v>0</v>
      </c>
      <c r="K156" s="58">
        <f t="shared" ref="K156:Q157" si="96">K157</f>
        <v>0</v>
      </c>
      <c r="L156" s="58">
        <f t="shared" si="96"/>
        <v>0</v>
      </c>
      <c r="M156" s="58">
        <f t="shared" si="96"/>
        <v>11700000</v>
      </c>
      <c r="N156" s="58">
        <f t="shared" si="96"/>
        <v>0</v>
      </c>
      <c r="O156" s="58">
        <f t="shared" si="96"/>
        <v>0</v>
      </c>
      <c r="P156" s="58">
        <f t="shared" si="96"/>
        <v>0</v>
      </c>
      <c r="Q156" s="58">
        <f t="shared" si="96"/>
        <v>0</v>
      </c>
      <c r="R156" s="89"/>
      <c r="S156" s="89"/>
      <c r="T156" s="89"/>
      <c r="U156" s="89"/>
      <c r="V156" s="89"/>
    </row>
    <row r="157" spans="1:22" ht="28" customHeight="1" x14ac:dyDescent="0.35">
      <c r="A157" s="262"/>
      <c r="B157" s="265"/>
      <c r="C157" s="60">
        <v>0</v>
      </c>
      <c r="D157" s="60">
        <v>0</v>
      </c>
      <c r="E157" s="60">
        <v>0</v>
      </c>
      <c r="F157" s="61" t="s">
        <v>150</v>
      </c>
      <c r="G157" s="60">
        <f t="shared" si="91"/>
        <v>11700000</v>
      </c>
      <c r="H157" s="60">
        <f t="shared" si="92"/>
        <v>0</v>
      </c>
      <c r="I157" s="60">
        <f t="shared" si="92"/>
        <v>0</v>
      </c>
      <c r="J157" s="60">
        <f>J158</f>
        <v>0</v>
      </c>
      <c r="K157" s="60">
        <f t="shared" si="96"/>
        <v>0</v>
      </c>
      <c r="L157" s="60">
        <f t="shared" si="96"/>
        <v>0</v>
      </c>
      <c r="M157" s="60">
        <f t="shared" si="96"/>
        <v>11700000</v>
      </c>
      <c r="N157" s="60">
        <f t="shared" si="96"/>
        <v>0</v>
      </c>
      <c r="O157" s="60">
        <f t="shared" si="96"/>
        <v>0</v>
      </c>
      <c r="P157" s="60">
        <f t="shared" si="96"/>
        <v>0</v>
      </c>
      <c r="Q157" s="60">
        <f t="shared" si="96"/>
        <v>0</v>
      </c>
      <c r="R157" s="89"/>
      <c r="S157" s="89"/>
      <c r="T157" s="89"/>
      <c r="U157" s="89"/>
      <c r="V157" s="89"/>
    </row>
    <row r="158" spans="1:22" ht="28" customHeight="1" x14ac:dyDescent="0.35">
      <c r="A158" s="262"/>
      <c r="B158" s="265"/>
      <c r="C158" s="101"/>
      <c r="D158" s="73"/>
      <c r="E158" s="19"/>
      <c r="F158" s="66" t="s">
        <v>151</v>
      </c>
      <c r="G158" s="67">
        <f t="shared" si="91"/>
        <v>11700000</v>
      </c>
      <c r="H158" s="67">
        <f t="shared" si="92"/>
        <v>0</v>
      </c>
      <c r="I158" s="67">
        <f t="shared" si="92"/>
        <v>0</v>
      </c>
      <c r="J158" s="67">
        <f>K158+L158</f>
        <v>0</v>
      </c>
      <c r="K158" s="67">
        <v>0</v>
      </c>
      <c r="L158" s="67">
        <v>0</v>
      </c>
      <c r="M158" s="67">
        <v>11700000</v>
      </c>
      <c r="N158" s="67">
        <f>O158+P158</f>
        <v>0</v>
      </c>
      <c r="O158" s="67">
        <v>0</v>
      </c>
      <c r="P158" s="67">
        <v>0</v>
      </c>
      <c r="Q158" s="67">
        <v>0</v>
      </c>
      <c r="R158" s="89"/>
      <c r="S158" s="89"/>
      <c r="T158" s="89"/>
      <c r="U158" s="89"/>
      <c r="V158" s="89"/>
    </row>
    <row r="159" spans="1:22" ht="28" customHeight="1" x14ac:dyDescent="0.35">
      <c r="A159" s="262" t="s">
        <v>160</v>
      </c>
      <c r="B159" s="265" t="s">
        <v>161</v>
      </c>
      <c r="C159" s="56">
        <f>C160</f>
        <v>0</v>
      </c>
      <c r="D159" s="57">
        <f>D160</f>
        <v>0</v>
      </c>
      <c r="E159" s="58">
        <f>E160</f>
        <v>0</v>
      </c>
      <c r="F159" s="59" t="s">
        <v>162</v>
      </c>
      <c r="G159" s="58">
        <f t="shared" si="91"/>
        <v>60265241</v>
      </c>
      <c r="H159" s="58">
        <f t="shared" si="92"/>
        <v>0</v>
      </c>
      <c r="I159" s="58">
        <f t="shared" si="92"/>
        <v>0</v>
      </c>
      <c r="J159" s="58">
        <f>J160</f>
        <v>0</v>
      </c>
      <c r="K159" s="58">
        <f t="shared" ref="K159:Q160" si="97">K160</f>
        <v>0</v>
      </c>
      <c r="L159" s="58">
        <f t="shared" si="97"/>
        <v>0</v>
      </c>
      <c r="M159" s="58">
        <f t="shared" si="97"/>
        <v>60265241</v>
      </c>
      <c r="N159" s="58">
        <f t="shared" si="97"/>
        <v>0</v>
      </c>
      <c r="O159" s="58">
        <f t="shared" si="97"/>
        <v>0</v>
      </c>
      <c r="P159" s="58">
        <f t="shared" si="97"/>
        <v>0</v>
      </c>
      <c r="Q159" s="58">
        <f t="shared" si="97"/>
        <v>0</v>
      </c>
      <c r="R159" s="89"/>
      <c r="S159" s="89"/>
      <c r="T159" s="89"/>
      <c r="U159" s="89"/>
      <c r="V159" s="89"/>
    </row>
    <row r="160" spans="1:22" ht="28" customHeight="1" x14ac:dyDescent="0.35">
      <c r="A160" s="262"/>
      <c r="B160" s="265"/>
      <c r="C160" s="60">
        <v>0</v>
      </c>
      <c r="D160" s="60">
        <v>0</v>
      </c>
      <c r="E160" s="60">
        <v>0</v>
      </c>
      <c r="F160" s="61" t="s">
        <v>150</v>
      </c>
      <c r="G160" s="60">
        <f t="shared" si="91"/>
        <v>60265241</v>
      </c>
      <c r="H160" s="60">
        <f t="shared" si="92"/>
        <v>0</v>
      </c>
      <c r="I160" s="60">
        <f t="shared" si="92"/>
        <v>0</v>
      </c>
      <c r="J160" s="60">
        <f>J161</f>
        <v>0</v>
      </c>
      <c r="K160" s="60">
        <f t="shared" si="97"/>
        <v>0</v>
      </c>
      <c r="L160" s="60">
        <f t="shared" si="97"/>
        <v>0</v>
      </c>
      <c r="M160" s="60">
        <f t="shared" si="97"/>
        <v>60265241</v>
      </c>
      <c r="N160" s="60">
        <f t="shared" si="97"/>
        <v>0</v>
      </c>
      <c r="O160" s="60">
        <f t="shared" si="97"/>
        <v>0</v>
      </c>
      <c r="P160" s="60">
        <f t="shared" si="97"/>
        <v>0</v>
      </c>
      <c r="Q160" s="60">
        <f t="shared" si="97"/>
        <v>0</v>
      </c>
      <c r="R160" s="89"/>
      <c r="S160" s="89"/>
      <c r="T160" s="89"/>
      <c r="U160" s="89"/>
      <c r="V160" s="89"/>
    </row>
    <row r="161" spans="1:22" ht="28" customHeight="1" x14ac:dyDescent="0.35">
      <c r="A161" s="262"/>
      <c r="B161" s="265"/>
      <c r="C161" s="101"/>
      <c r="D161" s="73"/>
      <c r="E161" s="19"/>
      <c r="F161" s="66" t="s">
        <v>151</v>
      </c>
      <c r="G161" s="67">
        <f t="shared" si="91"/>
        <v>60265241</v>
      </c>
      <c r="H161" s="67">
        <f t="shared" si="92"/>
        <v>0</v>
      </c>
      <c r="I161" s="67">
        <f t="shared" si="92"/>
        <v>0</v>
      </c>
      <c r="J161" s="67">
        <f>K161+L161</f>
        <v>0</v>
      </c>
      <c r="K161" s="67">
        <v>0</v>
      </c>
      <c r="L161" s="67">
        <v>0</v>
      </c>
      <c r="M161" s="67">
        <f>90465241-30200000</f>
        <v>60265241</v>
      </c>
      <c r="N161" s="67">
        <f>O161+P161</f>
        <v>0</v>
      </c>
      <c r="O161" s="67">
        <v>0</v>
      </c>
      <c r="P161" s="67">
        <v>0</v>
      </c>
      <c r="Q161" s="67">
        <v>0</v>
      </c>
      <c r="R161" s="89"/>
      <c r="S161" s="89"/>
      <c r="T161" s="89"/>
      <c r="U161" s="89"/>
      <c r="V161" s="89"/>
    </row>
    <row r="162" spans="1:22" ht="28" customHeight="1" x14ac:dyDescent="0.35">
      <c r="A162" s="262" t="s">
        <v>163</v>
      </c>
      <c r="B162" s="265" t="s">
        <v>164</v>
      </c>
      <c r="C162" s="56">
        <f>C163</f>
        <v>0</v>
      </c>
      <c r="D162" s="57">
        <f>D163</f>
        <v>0</v>
      </c>
      <c r="E162" s="58">
        <f>E163</f>
        <v>0</v>
      </c>
      <c r="F162" s="59" t="s">
        <v>165</v>
      </c>
      <c r="G162" s="58">
        <f t="shared" si="91"/>
        <v>1000000</v>
      </c>
      <c r="H162" s="58">
        <f t="shared" si="92"/>
        <v>0</v>
      </c>
      <c r="I162" s="58">
        <f t="shared" si="92"/>
        <v>0</v>
      </c>
      <c r="J162" s="58">
        <f>J163</f>
        <v>0</v>
      </c>
      <c r="K162" s="58">
        <f t="shared" ref="K162:Q163" si="98">K163</f>
        <v>0</v>
      </c>
      <c r="L162" s="58">
        <f t="shared" si="98"/>
        <v>0</v>
      </c>
      <c r="M162" s="58">
        <f t="shared" si="98"/>
        <v>1000000</v>
      </c>
      <c r="N162" s="58">
        <f t="shared" si="98"/>
        <v>0</v>
      </c>
      <c r="O162" s="58">
        <f t="shared" si="98"/>
        <v>0</v>
      </c>
      <c r="P162" s="58">
        <f t="shared" si="98"/>
        <v>0</v>
      </c>
      <c r="Q162" s="58">
        <f t="shared" si="98"/>
        <v>0</v>
      </c>
      <c r="R162" s="89"/>
      <c r="S162" s="89"/>
      <c r="T162" s="89"/>
      <c r="U162" s="89"/>
      <c r="V162" s="89"/>
    </row>
    <row r="163" spans="1:22" ht="28" customHeight="1" x14ac:dyDescent="0.35">
      <c r="A163" s="262"/>
      <c r="B163" s="265"/>
      <c r="C163" s="60">
        <v>0</v>
      </c>
      <c r="D163" s="60">
        <v>0</v>
      </c>
      <c r="E163" s="60">
        <v>0</v>
      </c>
      <c r="F163" s="61" t="s">
        <v>150</v>
      </c>
      <c r="G163" s="60">
        <f t="shared" si="91"/>
        <v>1000000</v>
      </c>
      <c r="H163" s="60">
        <f t="shared" si="92"/>
        <v>0</v>
      </c>
      <c r="I163" s="60">
        <f t="shared" si="92"/>
        <v>0</v>
      </c>
      <c r="J163" s="60">
        <f>J164</f>
        <v>0</v>
      </c>
      <c r="K163" s="60">
        <f t="shared" si="98"/>
        <v>0</v>
      </c>
      <c r="L163" s="60">
        <f t="shared" si="98"/>
        <v>0</v>
      </c>
      <c r="M163" s="60">
        <f t="shared" si="98"/>
        <v>1000000</v>
      </c>
      <c r="N163" s="60">
        <f t="shared" si="98"/>
        <v>0</v>
      </c>
      <c r="O163" s="60">
        <f t="shared" si="98"/>
        <v>0</v>
      </c>
      <c r="P163" s="60">
        <f t="shared" si="98"/>
        <v>0</v>
      </c>
      <c r="Q163" s="60">
        <f t="shared" si="98"/>
        <v>0</v>
      </c>
      <c r="R163" s="89"/>
      <c r="S163" s="89"/>
      <c r="T163" s="89"/>
      <c r="U163" s="89"/>
      <c r="V163" s="89"/>
    </row>
    <row r="164" spans="1:22" ht="28" customHeight="1" x14ac:dyDescent="0.35">
      <c r="A164" s="262"/>
      <c r="B164" s="265"/>
      <c r="C164" s="101"/>
      <c r="D164" s="73"/>
      <c r="E164" s="19"/>
      <c r="F164" s="66" t="s">
        <v>151</v>
      </c>
      <c r="G164" s="67">
        <f t="shared" si="91"/>
        <v>1000000</v>
      </c>
      <c r="H164" s="67">
        <f t="shared" si="92"/>
        <v>0</v>
      </c>
      <c r="I164" s="67">
        <f t="shared" si="92"/>
        <v>0</v>
      </c>
      <c r="J164" s="67">
        <f>K164+L164</f>
        <v>0</v>
      </c>
      <c r="K164" s="67">
        <v>0</v>
      </c>
      <c r="L164" s="67">
        <v>0</v>
      </c>
      <c r="M164" s="67">
        <v>1000000</v>
      </c>
      <c r="N164" s="67">
        <f>O164+P164</f>
        <v>0</v>
      </c>
      <c r="O164" s="67">
        <v>0</v>
      </c>
      <c r="P164" s="67">
        <v>0</v>
      </c>
      <c r="Q164" s="67">
        <v>0</v>
      </c>
      <c r="R164" s="89"/>
      <c r="S164" s="89"/>
      <c r="T164" s="89"/>
      <c r="U164" s="89"/>
      <c r="V164" s="89"/>
    </row>
    <row r="165" spans="1:22" ht="28" customHeight="1" x14ac:dyDescent="0.35">
      <c r="A165" s="250" t="s">
        <v>166</v>
      </c>
      <c r="B165" s="215" t="s">
        <v>167</v>
      </c>
      <c r="C165" s="56">
        <f>C166</f>
        <v>0</v>
      </c>
      <c r="D165" s="57">
        <f>D166</f>
        <v>0</v>
      </c>
      <c r="E165" s="58">
        <f>E166</f>
        <v>0</v>
      </c>
      <c r="F165" s="59" t="s">
        <v>168</v>
      </c>
      <c r="G165" s="58">
        <f t="shared" si="91"/>
        <v>0</v>
      </c>
      <c r="H165" s="58">
        <f t="shared" si="92"/>
        <v>0</v>
      </c>
      <c r="I165" s="58">
        <f t="shared" si="92"/>
        <v>0</v>
      </c>
      <c r="J165" s="58">
        <f>J166</f>
        <v>0</v>
      </c>
      <c r="K165" s="58">
        <f t="shared" ref="K165:Q166" si="99">K166</f>
        <v>0</v>
      </c>
      <c r="L165" s="58">
        <f t="shared" si="99"/>
        <v>0</v>
      </c>
      <c r="M165" s="58">
        <f t="shared" si="99"/>
        <v>0</v>
      </c>
      <c r="N165" s="58">
        <f t="shared" si="99"/>
        <v>0</v>
      </c>
      <c r="O165" s="58">
        <f t="shared" si="99"/>
        <v>0</v>
      </c>
      <c r="P165" s="58">
        <f t="shared" si="99"/>
        <v>0</v>
      </c>
      <c r="Q165" s="58">
        <f t="shared" si="99"/>
        <v>0</v>
      </c>
      <c r="R165" s="89"/>
      <c r="S165" s="89"/>
      <c r="T165" s="89"/>
      <c r="U165" s="89"/>
      <c r="V165" s="89"/>
    </row>
    <row r="166" spans="1:22" ht="28" customHeight="1" x14ac:dyDescent="0.35">
      <c r="A166" s="250"/>
      <c r="B166" s="215"/>
      <c r="C166" s="60">
        <v>0</v>
      </c>
      <c r="D166" s="60">
        <v>0</v>
      </c>
      <c r="E166" s="60">
        <v>0</v>
      </c>
      <c r="F166" s="61" t="s">
        <v>150</v>
      </c>
      <c r="G166" s="60">
        <f t="shared" si="91"/>
        <v>0</v>
      </c>
      <c r="H166" s="60">
        <f t="shared" si="92"/>
        <v>0</v>
      </c>
      <c r="I166" s="60">
        <f t="shared" si="92"/>
        <v>0</v>
      </c>
      <c r="J166" s="60">
        <f>J167</f>
        <v>0</v>
      </c>
      <c r="K166" s="60">
        <f t="shared" si="99"/>
        <v>0</v>
      </c>
      <c r="L166" s="60">
        <f t="shared" si="99"/>
        <v>0</v>
      </c>
      <c r="M166" s="60">
        <f t="shared" si="99"/>
        <v>0</v>
      </c>
      <c r="N166" s="60">
        <f t="shared" si="99"/>
        <v>0</v>
      </c>
      <c r="O166" s="60">
        <f t="shared" si="99"/>
        <v>0</v>
      </c>
      <c r="P166" s="60">
        <f t="shared" si="99"/>
        <v>0</v>
      </c>
      <c r="Q166" s="60">
        <f t="shared" si="99"/>
        <v>0</v>
      </c>
      <c r="R166" s="89"/>
      <c r="S166" s="89"/>
      <c r="T166" s="89"/>
      <c r="U166" s="89"/>
      <c r="V166" s="89"/>
    </row>
    <row r="167" spans="1:22" ht="28" customHeight="1" x14ac:dyDescent="0.35">
      <c r="A167" s="250"/>
      <c r="B167" s="215"/>
      <c r="C167" s="101"/>
      <c r="D167" s="73"/>
      <c r="E167" s="19"/>
      <c r="F167" s="66" t="s">
        <v>151</v>
      </c>
      <c r="G167" s="67">
        <f t="shared" si="91"/>
        <v>0</v>
      </c>
      <c r="H167" s="67">
        <f t="shared" si="92"/>
        <v>0</v>
      </c>
      <c r="I167" s="67">
        <f t="shared" si="92"/>
        <v>0</v>
      </c>
      <c r="J167" s="67">
        <f>K167+L167</f>
        <v>0</v>
      </c>
      <c r="K167" s="67">
        <v>0</v>
      </c>
      <c r="L167" s="67">
        <v>0</v>
      </c>
      <c r="M167" s="67">
        <f>3000000-3000000</f>
        <v>0</v>
      </c>
      <c r="N167" s="67">
        <f>O167+P167</f>
        <v>0</v>
      </c>
      <c r="O167" s="67">
        <v>0</v>
      </c>
      <c r="P167" s="67">
        <v>0</v>
      </c>
      <c r="Q167" s="67">
        <v>0</v>
      </c>
      <c r="R167" s="89"/>
      <c r="S167" s="89"/>
      <c r="T167" s="89"/>
      <c r="U167" s="89"/>
      <c r="V167" s="89"/>
    </row>
    <row r="168" spans="1:22" ht="28" customHeight="1" x14ac:dyDescent="0.35">
      <c r="A168" s="262" t="s">
        <v>169</v>
      </c>
      <c r="B168" s="215" t="s">
        <v>170</v>
      </c>
      <c r="C168" s="56">
        <f>C169</f>
        <v>0</v>
      </c>
      <c r="D168" s="57">
        <f>D169</f>
        <v>0</v>
      </c>
      <c r="E168" s="58">
        <f>E169</f>
        <v>0</v>
      </c>
      <c r="F168" s="59" t="s">
        <v>171</v>
      </c>
      <c r="G168" s="58">
        <f t="shared" si="91"/>
        <v>2300000</v>
      </c>
      <c r="H168" s="58">
        <f t="shared" si="92"/>
        <v>2300000</v>
      </c>
      <c r="I168" s="58">
        <f t="shared" si="92"/>
        <v>0</v>
      </c>
      <c r="J168" s="58">
        <f>J169</f>
        <v>2300000</v>
      </c>
      <c r="K168" s="58">
        <f t="shared" ref="K168:Q169" si="100">K169</f>
        <v>2300000</v>
      </c>
      <c r="L168" s="58">
        <f t="shared" si="100"/>
        <v>0</v>
      </c>
      <c r="M168" s="58">
        <f t="shared" si="100"/>
        <v>0</v>
      </c>
      <c r="N168" s="58">
        <f t="shared" si="100"/>
        <v>0</v>
      </c>
      <c r="O168" s="58">
        <f t="shared" si="100"/>
        <v>0</v>
      </c>
      <c r="P168" s="58">
        <f t="shared" si="100"/>
        <v>0</v>
      </c>
      <c r="Q168" s="58">
        <f t="shared" si="100"/>
        <v>0</v>
      </c>
      <c r="R168" s="89"/>
      <c r="S168" s="89"/>
      <c r="T168" s="89"/>
      <c r="U168" s="89"/>
      <c r="V168" s="89"/>
    </row>
    <row r="169" spans="1:22" ht="28" customHeight="1" x14ac:dyDescent="0.35">
      <c r="A169" s="262"/>
      <c r="B169" s="215"/>
      <c r="C169" s="60">
        <v>0</v>
      </c>
      <c r="D169" s="60">
        <v>0</v>
      </c>
      <c r="E169" s="60">
        <v>0</v>
      </c>
      <c r="F169" s="61" t="s">
        <v>172</v>
      </c>
      <c r="G169" s="60">
        <f t="shared" si="91"/>
        <v>2300000</v>
      </c>
      <c r="H169" s="60">
        <f t="shared" si="92"/>
        <v>2300000</v>
      </c>
      <c r="I169" s="60">
        <f t="shared" si="92"/>
        <v>0</v>
      </c>
      <c r="J169" s="60">
        <f>J170</f>
        <v>2300000</v>
      </c>
      <c r="K169" s="60">
        <f t="shared" si="100"/>
        <v>2300000</v>
      </c>
      <c r="L169" s="60">
        <f t="shared" si="100"/>
        <v>0</v>
      </c>
      <c r="M169" s="60">
        <f t="shared" si="100"/>
        <v>0</v>
      </c>
      <c r="N169" s="60">
        <f t="shared" si="100"/>
        <v>0</v>
      </c>
      <c r="O169" s="60">
        <f t="shared" si="100"/>
        <v>0</v>
      </c>
      <c r="P169" s="60">
        <f t="shared" si="100"/>
        <v>0</v>
      </c>
      <c r="Q169" s="60">
        <f t="shared" si="100"/>
        <v>0</v>
      </c>
      <c r="R169" s="89"/>
      <c r="S169" s="89"/>
      <c r="T169" s="89"/>
      <c r="U169" s="89"/>
      <c r="V169" s="89"/>
    </row>
    <row r="170" spans="1:22" ht="28" customHeight="1" x14ac:dyDescent="0.35">
      <c r="A170" s="262"/>
      <c r="B170" s="215"/>
      <c r="C170" s="101"/>
      <c r="D170" s="73"/>
      <c r="E170" s="19"/>
      <c r="F170" s="66" t="s">
        <v>173</v>
      </c>
      <c r="G170" s="67">
        <f t="shared" si="91"/>
        <v>2300000</v>
      </c>
      <c r="H170" s="67">
        <f t="shared" si="92"/>
        <v>2300000</v>
      </c>
      <c r="I170" s="67">
        <f t="shared" si="92"/>
        <v>0</v>
      </c>
      <c r="J170" s="67">
        <f>K170+L170</f>
        <v>2300000</v>
      </c>
      <c r="K170" s="67">
        <v>2300000</v>
      </c>
      <c r="L170" s="67">
        <v>0</v>
      </c>
      <c r="M170" s="67">
        <v>0</v>
      </c>
      <c r="N170" s="67">
        <f>O170+P170</f>
        <v>0</v>
      </c>
      <c r="O170" s="67">
        <v>0</v>
      </c>
      <c r="P170" s="67">
        <v>0</v>
      </c>
      <c r="Q170" s="67">
        <v>0</v>
      </c>
      <c r="R170" s="89"/>
      <c r="S170" s="89"/>
      <c r="T170" s="89"/>
      <c r="U170" s="89"/>
      <c r="V170" s="89"/>
    </row>
    <row r="171" spans="1:22" ht="28" customHeight="1" x14ac:dyDescent="0.35">
      <c r="A171" s="252" t="s">
        <v>174</v>
      </c>
      <c r="B171" s="215" t="s">
        <v>175</v>
      </c>
      <c r="C171" s="56">
        <f>C172</f>
        <v>0</v>
      </c>
      <c r="D171" s="57">
        <f>D172</f>
        <v>0</v>
      </c>
      <c r="E171" s="58">
        <f>E172</f>
        <v>0</v>
      </c>
      <c r="F171" s="59" t="s">
        <v>176</v>
      </c>
      <c r="G171" s="58">
        <f t="shared" si="91"/>
        <v>68522821</v>
      </c>
      <c r="H171" s="58">
        <f t="shared" si="92"/>
        <v>68522821</v>
      </c>
      <c r="I171" s="58">
        <f t="shared" si="92"/>
        <v>0</v>
      </c>
      <c r="J171" s="58">
        <f>J172</f>
        <v>68522821</v>
      </c>
      <c r="K171" s="58">
        <f t="shared" ref="K171:Q172" si="101">K172</f>
        <v>68522821</v>
      </c>
      <c r="L171" s="58">
        <f t="shared" si="101"/>
        <v>0</v>
      </c>
      <c r="M171" s="58">
        <f t="shared" si="101"/>
        <v>0</v>
      </c>
      <c r="N171" s="58">
        <f t="shared" si="101"/>
        <v>0</v>
      </c>
      <c r="O171" s="58">
        <f t="shared" si="101"/>
        <v>0</v>
      </c>
      <c r="P171" s="58">
        <f t="shared" si="101"/>
        <v>0</v>
      </c>
      <c r="Q171" s="58">
        <f t="shared" si="101"/>
        <v>0</v>
      </c>
      <c r="R171" s="89"/>
      <c r="S171" s="89"/>
      <c r="T171" s="89"/>
      <c r="U171" s="89"/>
      <c r="V171" s="89"/>
    </row>
    <row r="172" spans="1:22" ht="28" customHeight="1" x14ac:dyDescent="0.35">
      <c r="A172" s="252"/>
      <c r="B172" s="215"/>
      <c r="C172" s="60">
        <v>0</v>
      </c>
      <c r="D172" s="60">
        <v>0</v>
      </c>
      <c r="E172" s="60">
        <v>0</v>
      </c>
      <c r="F172" s="61" t="s">
        <v>172</v>
      </c>
      <c r="G172" s="60">
        <f t="shared" si="91"/>
        <v>68522821</v>
      </c>
      <c r="H172" s="60">
        <f t="shared" si="92"/>
        <v>68522821</v>
      </c>
      <c r="I172" s="60">
        <f t="shared" si="92"/>
        <v>0</v>
      </c>
      <c r="J172" s="60">
        <f>J173</f>
        <v>68522821</v>
      </c>
      <c r="K172" s="60">
        <f t="shared" si="101"/>
        <v>68522821</v>
      </c>
      <c r="L172" s="60">
        <f t="shared" si="101"/>
        <v>0</v>
      </c>
      <c r="M172" s="60">
        <f t="shared" si="101"/>
        <v>0</v>
      </c>
      <c r="N172" s="60">
        <f t="shared" si="101"/>
        <v>0</v>
      </c>
      <c r="O172" s="60">
        <f t="shared" si="101"/>
        <v>0</v>
      </c>
      <c r="P172" s="60">
        <f t="shared" si="101"/>
        <v>0</v>
      </c>
      <c r="Q172" s="60">
        <f t="shared" si="101"/>
        <v>0</v>
      </c>
      <c r="R172" s="89"/>
      <c r="S172" s="89"/>
      <c r="T172" s="89"/>
      <c r="U172" s="89"/>
      <c r="V172" s="89"/>
    </row>
    <row r="173" spans="1:22" ht="28" customHeight="1" x14ac:dyDescent="0.35">
      <c r="A173" s="252"/>
      <c r="B173" s="215"/>
      <c r="C173" s="101"/>
      <c r="D173" s="73"/>
      <c r="E173" s="19"/>
      <c r="F173" s="66" t="s">
        <v>173</v>
      </c>
      <c r="G173" s="67">
        <f t="shared" si="91"/>
        <v>68522821</v>
      </c>
      <c r="H173" s="67">
        <f t="shared" si="92"/>
        <v>68522821</v>
      </c>
      <c r="I173" s="67">
        <f t="shared" si="92"/>
        <v>0</v>
      </c>
      <c r="J173" s="67">
        <f>K173+L173</f>
        <v>68522821</v>
      </c>
      <c r="K173" s="67">
        <f>77200000-8677179</f>
        <v>68522821</v>
      </c>
      <c r="L173" s="67">
        <v>0</v>
      </c>
      <c r="M173" s="67">
        <v>0</v>
      </c>
      <c r="N173" s="67">
        <f>O173+P173</f>
        <v>0</v>
      </c>
      <c r="O173" s="67">
        <v>0</v>
      </c>
      <c r="P173" s="67">
        <v>0</v>
      </c>
      <c r="Q173" s="67">
        <v>0</v>
      </c>
      <c r="R173" s="89"/>
      <c r="S173" s="89"/>
      <c r="T173" s="89"/>
      <c r="U173" s="89"/>
      <c r="V173" s="89"/>
    </row>
    <row r="174" spans="1:22" ht="28" customHeight="1" x14ac:dyDescent="0.35">
      <c r="A174" s="252" t="s">
        <v>177</v>
      </c>
      <c r="B174" s="215" t="s">
        <v>178</v>
      </c>
      <c r="C174" s="56">
        <f>C175</f>
        <v>0</v>
      </c>
      <c r="D174" s="57">
        <f>D175</f>
        <v>0</v>
      </c>
      <c r="E174" s="58">
        <f>E175</f>
        <v>0</v>
      </c>
      <c r="F174" s="59" t="s">
        <v>179</v>
      </c>
      <c r="G174" s="58">
        <f t="shared" si="91"/>
        <v>27900000</v>
      </c>
      <c r="H174" s="58">
        <f t="shared" si="92"/>
        <v>27900000</v>
      </c>
      <c r="I174" s="58">
        <f t="shared" si="92"/>
        <v>0</v>
      </c>
      <c r="J174" s="58">
        <f>J175</f>
        <v>27900000</v>
      </c>
      <c r="K174" s="58">
        <f t="shared" ref="K174:Q175" si="102">K175</f>
        <v>27900000</v>
      </c>
      <c r="L174" s="58">
        <f t="shared" si="102"/>
        <v>0</v>
      </c>
      <c r="M174" s="58">
        <f t="shared" si="102"/>
        <v>0</v>
      </c>
      <c r="N174" s="58">
        <f t="shared" si="102"/>
        <v>0</v>
      </c>
      <c r="O174" s="58">
        <f t="shared" si="102"/>
        <v>0</v>
      </c>
      <c r="P174" s="58">
        <f t="shared" si="102"/>
        <v>0</v>
      </c>
      <c r="Q174" s="58">
        <f t="shared" si="102"/>
        <v>0</v>
      </c>
      <c r="R174" s="89"/>
      <c r="S174" s="89"/>
      <c r="T174" s="89"/>
      <c r="U174" s="89"/>
      <c r="V174" s="89"/>
    </row>
    <row r="175" spans="1:22" ht="28" customHeight="1" x14ac:dyDescent="0.35">
      <c r="A175" s="252"/>
      <c r="B175" s="215"/>
      <c r="C175" s="60">
        <v>0</v>
      </c>
      <c r="D175" s="60">
        <v>0</v>
      </c>
      <c r="E175" s="60">
        <v>0</v>
      </c>
      <c r="F175" s="61" t="s">
        <v>172</v>
      </c>
      <c r="G175" s="60">
        <f t="shared" si="91"/>
        <v>27900000</v>
      </c>
      <c r="H175" s="60">
        <f t="shared" si="92"/>
        <v>27900000</v>
      </c>
      <c r="I175" s="60">
        <f t="shared" si="92"/>
        <v>0</v>
      </c>
      <c r="J175" s="60">
        <f>J176</f>
        <v>27900000</v>
      </c>
      <c r="K175" s="60">
        <f t="shared" si="102"/>
        <v>27900000</v>
      </c>
      <c r="L175" s="60">
        <f t="shared" si="102"/>
        <v>0</v>
      </c>
      <c r="M175" s="60">
        <f t="shared" si="102"/>
        <v>0</v>
      </c>
      <c r="N175" s="60">
        <f t="shared" si="102"/>
        <v>0</v>
      </c>
      <c r="O175" s="60">
        <f t="shared" si="102"/>
        <v>0</v>
      </c>
      <c r="P175" s="60">
        <f t="shared" si="102"/>
        <v>0</v>
      </c>
      <c r="Q175" s="60">
        <f t="shared" si="102"/>
        <v>0</v>
      </c>
      <c r="R175" s="89"/>
      <c r="S175" s="89"/>
      <c r="T175" s="89"/>
      <c r="U175" s="89"/>
      <c r="V175" s="89"/>
    </row>
    <row r="176" spans="1:22" ht="28" customHeight="1" x14ac:dyDescent="0.35">
      <c r="A176" s="252"/>
      <c r="B176" s="215"/>
      <c r="C176" s="101"/>
      <c r="D176" s="73"/>
      <c r="E176" s="19"/>
      <c r="F176" s="66" t="s">
        <v>173</v>
      </c>
      <c r="G176" s="67">
        <f t="shared" si="91"/>
        <v>27900000</v>
      </c>
      <c r="H176" s="67">
        <f t="shared" si="92"/>
        <v>27900000</v>
      </c>
      <c r="I176" s="67">
        <f t="shared" si="92"/>
        <v>0</v>
      </c>
      <c r="J176" s="67">
        <f>K176+L176</f>
        <v>27900000</v>
      </c>
      <c r="K176" s="67">
        <v>27900000</v>
      </c>
      <c r="L176" s="67">
        <v>0</v>
      </c>
      <c r="M176" s="68">
        <v>0</v>
      </c>
      <c r="N176" s="67">
        <f>O176+P176</f>
        <v>0</v>
      </c>
      <c r="O176" s="67">
        <v>0</v>
      </c>
      <c r="P176" s="67">
        <v>0</v>
      </c>
      <c r="Q176" s="67">
        <v>0</v>
      </c>
      <c r="R176" s="89"/>
      <c r="S176" s="89"/>
      <c r="T176" s="89"/>
      <c r="U176" s="89"/>
      <c r="V176" s="89"/>
    </row>
    <row r="177" spans="1:22" ht="52" x14ac:dyDescent="0.35">
      <c r="A177" s="87" t="s">
        <v>180</v>
      </c>
      <c r="B177" s="88" t="s">
        <v>181</v>
      </c>
      <c r="C177" s="52">
        <f>C178+C183+C188+C195+C202+C209+C212+C217+C222+C225</f>
        <v>143674525</v>
      </c>
      <c r="D177" s="52">
        <f>D178+D183+D188+D195+D202+D209+D212+D217+D222+D225</f>
        <v>59700000</v>
      </c>
      <c r="E177" s="53">
        <f>E178+E183+E188+E195+E202+E209+E212+E217+E222+E225</f>
        <v>0</v>
      </c>
      <c r="F177" s="54" t="s">
        <v>182</v>
      </c>
      <c r="G177" s="52">
        <f>J177+M177+N177+Q177</f>
        <v>786549603</v>
      </c>
      <c r="H177" s="52">
        <f>K177+O177</f>
        <v>475428495</v>
      </c>
      <c r="I177" s="52">
        <f>L177+P177</f>
        <v>7000000</v>
      </c>
      <c r="J177" s="52">
        <f>J178+J183+J188+J195+J202+J209+J212+J217+J222+J225</f>
        <v>482428495</v>
      </c>
      <c r="K177" s="52">
        <f t="shared" ref="K177:Q177" si="103">K178+K183+K188+K195+K202+K209+K212+K217+K222+K225</f>
        <v>475428495</v>
      </c>
      <c r="L177" s="52">
        <f t="shared" si="103"/>
        <v>7000000</v>
      </c>
      <c r="M177" s="52">
        <f t="shared" si="103"/>
        <v>304121108</v>
      </c>
      <c r="N177" s="52">
        <f t="shared" si="103"/>
        <v>0</v>
      </c>
      <c r="O177" s="52">
        <f t="shared" si="103"/>
        <v>0</v>
      </c>
      <c r="P177" s="52">
        <f t="shared" si="103"/>
        <v>0</v>
      </c>
      <c r="Q177" s="52">
        <f t="shared" si="103"/>
        <v>0</v>
      </c>
      <c r="R177" s="89"/>
      <c r="S177" s="89"/>
      <c r="T177" s="89"/>
      <c r="U177" s="89"/>
      <c r="V177" s="89"/>
    </row>
    <row r="178" spans="1:22" ht="28" customHeight="1" x14ac:dyDescent="0.35">
      <c r="A178" s="214" t="s">
        <v>183</v>
      </c>
      <c r="B178" s="215" t="s">
        <v>184</v>
      </c>
      <c r="C178" s="57">
        <f>C179+C181</f>
        <v>0</v>
      </c>
      <c r="D178" s="57">
        <f>D179+D181</f>
        <v>10000000</v>
      </c>
      <c r="E178" s="57">
        <f>E179+E181</f>
        <v>0</v>
      </c>
      <c r="F178" s="59" t="s">
        <v>185</v>
      </c>
      <c r="G178" s="58">
        <f t="shared" ref="G178:G241" si="104">J178+M178+N178+Q178</f>
        <v>409165337</v>
      </c>
      <c r="H178" s="58">
        <f t="shared" ref="H178:I227" si="105">K178+O178</f>
        <v>216549970</v>
      </c>
      <c r="I178" s="58">
        <f t="shared" si="105"/>
        <v>0</v>
      </c>
      <c r="J178" s="58">
        <f>J179+J181</f>
        <v>216549970</v>
      </c>
      <c r="K178" s="58">
        <f t="shared" ref="K178:Q178" si="106">K179+K181</f>
        <v>216549970</v>
      </c>
      <c r="L178" s="58">
        <f t="shared" si="106"/>
        <v>0</v>
      </c>
      <c r="M178" s="58">
        <f t="shared" si="106"/>
        <v>192615367</v>
      </c>
      <c r="N178" s="58">
        <f t="shared" si="106"/>
        <v>0</v>
      </c>
      <c r="O178" s="58">
        <f t="shared" si="106"/>
        <v>0</v>
      </c>
      <c r="P178" s="58">
        <f t="shared" si="106"/>
        <v>0</v>
      </c>
      <c r="Q178" s="58">
        <f t="shared" si="106"/>
        <v>0</v>
      </c>
      <c r="R178" s="89"/>
      <c r="S178" s="89"/>
      <c r="T178" s="89"/>
      <c r="U178" s="89"/>
      <c r="V178" s="89"/>
    </row>
    <row r="179" spans="1:22" ht="28" customHeight="1" x14ac:dyDescent="0.35">
      <c r="A179" s="214"/>
      <c r="B179" s="215"/>
      <c r="C179" s="60">
        <v>0</v>
      </c>
      <c r="D179" s="60">
        <v>0</v>
      </c>
      <c r="E179" s="60">
        <v>0</v>
      </c>
      <c r="F179" s="61" t="s">
        <v>150</v>
      </c>
      <c r="G179" s="60">
        <f t="shared" si="104"/>
        <v>399165337</v>
      </c>
      <c r="H179" s="60">
        <f t="shared" si="105"/>
        <v>206549970</v>
      </c>
      <c r="I179" s="60">
        <f t="shared" si="105"/>
        <v>0</v>
      </c>
      <c r="J179" s="60">
        <f t="shared" ref="J179:Q179" si="107">J180</f>
        <v>206549970</v>
      </c>
      <c r="K179" s="60">
        <f t="shared" si="107"/>
        <v>206549970</v>
      </c>
      <c r="L179" s="60">
        <f t="shared" si="107"/>
        <v>0</v>
      </c>
      <c r="M179" s="60">
        <f t="shared" si="107"/>
        <v>192615367</v>
      </c>
      <c r="N179" s="60">
        <f t="shared" si="107"/>
        <v>0</v>
      </c>
      <c r="O179" s="60">
        <f t="shared" si="107"/>
        <v>0</v>
      </c>
      <c r="P179" s="60">
        <f t="shared" si="107"/>
        <v>0</v>
      </c>
      <c r="Q179" s="60">
        <f t="shared" si="107"/>
        <v>0</v>
      </c>
    </row>
    <row r="180" spans="1:22" ht="28" customHeight="1" x14ac:dyDescent="0.35">
      <c r="A180" s="214"/>
      <c r="B180" s="215"/>
      <c r="C180" s="78"/>
      <c r="D180" s="19"/>
      <c r="E180" s="19"/>
      <c r="F180" s="66" t="s">
        <v>151</v>
      </c>
      <c r="G180" s="67">
        <f t="shared" si="104"/>
        <v>399165337</v>
      </c>
      <c r="H180" s="67">
        <f t="shared" si="105"/>
        <v>206549970</v>
      </c>
      <c r="I180" s="67">
        <f t="shared" si="105"/>
        <v>0</v>
      </c>
      <c r="J180" s="67">
        <f>K180+L180</f>
        <v>206549970</v>
      </c>
      <c r="K180" s="67">
        <f>149000000+37200000+20349970</f>
        <v>206549970</v>
      </c>
      <c r="L180" s="67">
        <v>0</v>
      </c>
      <c r="M180" s="67">
        <f>92491469+82800000+17323898</f>
        <v>192615367</v>
      </c>
      <c r="N180" s="67">
        <f>O180+P180</f>
        <v>0</v>
      </c>
      <c r="O180" s="67">
        <v>0</v>
      </c>
      <c r="P180" s="67">
        <v>0</v>
      </c>
      <c r="Q180" s="67">
        <v>0</v>
      </c>
    </row>
    <row r="181" spans="1:22" ht="28" customHeight="1" x14ac:dyDescent="0.35">
      <c r="A181" s="214"/>
      <c r="B181" s="215"/>
      <c r="C181" s="60">
        <v>0</v>
      </c>
      <c r="D181" s="102">
        <f>G182</f>
        <v>10000000</v>
      </c>
      <c r="E181" s="60">
        <v>0</v>
      </c>
      <c r="F181" s="61" t="s">
        <v>186</v>
      </c>
      <c r="G181" s="60">
        <f t="shared" si="104"/>
        <v>10000000</v>
      </c>
      <c r="H181" s="60">
        <f t="shared" si="105"/>
        <v>10000000</v>
      </c>
      <c r="I181" s="60">
        <f t="shared" si="105"/>
        <v>0</v>
      </c>
      <c r="J181" s="60">
        <f>J182</f>
        <v>10000000</v>
      </c>
      <c r="K181" s="60">
        <f t="shared" ref="K181:Q181" si="108">K182</f>
        <v>10000000</v>
      </c>
      <c r="L181" s="60">
        <f t="shared" si="108"/>
        <v>0</v>
      </c>
      <c r="M181" s="60">
        <f t="shared" si="108"/>
        <v>0</v>
      </c>
      <c r="N181" s="60">
        <f t="shared" si="108"/>
        <v>0</v>
      </c>
      <c r="O181" s="60">
        <f t="shared" si="108"/>
        <v>0</v>
      </c>
      <c r="P181" s="60">
        <f t="shared" si="108"/>
        <v>0</v>
      </c>
      <c r="Q181" s="60">
        <f t="shared" si="108"/>
        <v>0</v>
      </c>
    </row>
    <row r="182" spans="1:22" ht="28" customHeight="1" x14ac:dyDescent="0.35">
      <c r="A182" s="214"/>
      <c r="B182" s="215"/>
      <c r="C182" s="78"/>
      <c r="D182" s="19"/>
      <c r="E182" s="19"/>
      <c r="F182" s="66" t="s">
        <v>187</v>
      </c>
      <c r="G182" s="103">
        <f t="shared" si="104"/>
        <v>10000000</v>
      </c>
      <c r="H182" s="103">
        <f t="shared" si="105"/>
        <v>10000000</v>
      </c>
      <c r="I182" s="103">
        <f t="shared" si="105"/>
        <v>0</v>
      </c>
      <c r="J182" s="103">
        <f>K182+L182</f>
        <v>10000000</v>
      </c>
      <c r="K182" s="103">
        <f>15000000-5000000</f>
        <v>10000000</v>
      </c>
      <c r="L182" s="103">
        <v>0</v>
      </c>
      <c r="M182" s="103">
        <v>0</v>
      </c>
      <c r="N182" s="103">
        <f>O182+P182</f>
        <v>0</v>
      </c>
      <c r="O182" s="103">
        <v>0</v>
      </c>
      <c r="P182" s="103">
        <v>0</v>
      </c>
      <c r="Q182" s="103">
        <v>0</v>
      </c>
    </row>
    <row r="183" spans="1:22" ht="28" customHeight="1" x14ac:dyDescent="0.35">
      <c r="A183" s="266" t="s">
        <v>188</v>
      </c>
      <c r="B183" s="215" t="s">
        <v>189</v>
      </c>
      <c r="C183" s="56">
        <f>C184</f>
        <v>23769700</v>
      </c>
      <c r="D183" s="57">
        <f>D184</f>
        <v>0</v>
      </c>
      <c r="E183" s="58">
        <f>E184</f>
        <v>0</v>
      </c>
      <c r="F183" s="59" t="s">
        <v>190</v>
      </c>
      <c r="G183" s="58">
        <f t="shared" si="104"/>
        <v>63876292</v>
      </c>
      <c r="H183" s="58">
        <f t="shared" si="105"/>
        <v>51269700</v>
      </c>
      <c r="I183" s="58">
        <f t="shared" si="105"/>
        <v>0</v>
      </c>
      <c r="J183" s="58">
        <f>J184</f>
        <v>51269700</v>
      </c>
      <c r="K183" s="58">
        <f t="shared" ref="K183:Q183" si="109">K184</f>
        <v>51269700</v>
      </c>
      <c r="L183" s="58">
        <f t="shared" si="109"/>
        <v>0</v>
      </c>
      <c r="M183" s="58">
        <f t="shared" si="109"/>
        <v>12606592</v>
      </c>
      <c r="N183" s="58">
        <f t="shared" si="109"/>
        <v>0</v>
      </c>
      <c r="O183" s="58">
        <f t="shared" si="109"/>
        <v>0</v>
      </c>
      <c r="P183" s="58">
        <f t="shared" si="109"/>
        <v>0</v>
      </c>
      <c r="Q183" s="58">
        <f t="shared" si="109"/>
        <v>0</v>
      </c>
    </row>
    <row r="184" spans="1:22" ht="28" customHeight="1" x14ac:dyDescent="0.35">
      <c r="A184" s="214"/>
      <c r="B184" s="215"/>
      <c r="C184" s="69">
        <f>G186+G187</f>
        <v>23769700</v>
      </c>
      <c r="D184" s="60">
        <v>0</v>
      </c>
      <c r="E184" s="60">
        <v>0</v>
      </c>
      <c r="F184" s="61" t="s">
        <v>150</v>
      </c>
      <c r="G184" s="60">
        <f t="shared" si="104"/>
        <v>63876292</v>
      </c>
      <c r="H184" s="60">
        <f t="shared" si="105"/>
        <v>51269700</v>
      </c>
      <c r="I184" s="60">
        <f t="shared" si="105"/>
        <v>0</v>
      </c>
      <c r="J184" s="60">
        <f>J185+J186+J187</f>
        <v>51269700</v>
      </c>
      <c r="K184" s="60">
        <f t="shared" ref="K184:Q184" si="110">K185+K186+K187</f>
        <v>51269700</v>
      </c>
      <c r="L184" s="60">
        <f t="shared" si="110"/>
        <v>0</v>
      </c>
      <c r="M184" s="60">
        <f t="shared" si="110"/>
        <v>12606592</v>
      </c>
      <c r="N184" s="60">
        <f t="shared" si="110"/>
        <v>0</v>
      </c>
      <c r="O184" s="60">
        <f t="shared" si="110"/>
        <v>0</v>
      </c>
      <c r="P184" s="60">
        <f t="shared" si="110"/>
        <v>0</v>
      </c>
      <c r="Q184" s="60">
        <f t="shared" si="110"/>
        <v>0</v>
      </c>
    </row>
    <row r="185" spans="1:22" ht="28" customHeight="1" x14ac:dyDescent="0.35">
      <c r="A185" s="214"/>
      <c r="B185" s="215"/>
      <c r="C185" s="78"/>
      <c r="D185" s="79"/>
      <c r="E185" s="64"/>
      <c r="F185" s="66" t="s">
        <v>151</v>
      </c>
      <c r="G185" s="67">
        <f t="shared" si="104"/>
        <v>40106592</v>
      </c>
      <c r="H185" s="67">
        <f t="shared" si="105"/>
        <v>27500000</v>
      </c>
      <c r="I185" s="67">
        <f t="shared" si="105"/>
        <v>0</v>
      </c>
      <c r="J185" s="67">
        <f>K185+L185</f>
        <v>27500000</v>
      </c>
      <c r="K185" s="67">
        <v>27500000</v>
      </c>
      <c r="L185" s="67">
        <v>0</v>
      </c>
      <c r="M185" s="68">
        <v>12606592</v>
      </c>
      <c r="N185" s="68">
        <f>O185+P185</f>
        <v>0</v>
      </c>
      <c r="O185" s="68">
        <v>0</v>
      </c>
      <c r="P185" s="68">
        <v>0</v>
      </c>
      <c r="Q185" s="68">
        <v>0</v>
      </c>
    </row>
    <row r="186" spans="1:22" ht="28" customHeight="1" x14ac:dyDescent="0.35">
      <c r="A186" s="214"/>
      <c r="B186" s="215"/>
      <c r="C186" s="78"/>
      <c r="D186" s="79"/>
      <c r="E186" s="64"/>
      <c r="F186" s="66" t="s">
        <v>152</v>
      </c>
      <c r="G186" s="71">
        <f t="shared" si="104"/>
        <v>23769700</v>
      </c>
      <c r="H186" s="71">
        <f t="shared" si="105"/>
        <v>23769700</v>
      </c>
      <c r="I186" s="71">
        <f t="shared" si="105"/>
        <v>0</v>
      </c>
      <c r="J186" s="71">
        <f>K186+L186</f>
        <v>23769700</v>
      </c>
      <c r="K186" s="71">
        <f>27500000+178354-858654-3050000</f>
        <v>23769700</v>
      </c>
      <c r="L186" s="71">
        <v>0</v>
      </c>
      <c r="M186" s="71">
        <v>0</v>
      </c>
      <c r="N186" s="71">
        <f>O186+P186</f>
        <v>0</v>
      </c>
      <c r="O186" s="71">
        <v>0</v>
      </c>
      <c r="P186" s="71">
        <v>0</v>
      </c>
      <c r="Q186" s="71">
        <v>0</v>
      </c>
    </row>
    <row r="187" spans="1:22" ht="28" customHeight="1" x14ac:dyDescent="0.35">
      <c r="A187" s="214"/>
      <c r="B187" s="215"/>
      <c r="C187" s="78"/>
      <c r="D187" s="79"/>
      <c r="E187" s="64"/>
      <c r="F187" s="66" t="s">
        <v>153</v>
      </c>
      <c r="G187" s="71">
        <f t="shared" si="104"/>
        <v>0</v>
      </c>
      <c r="H187" s="71">
        <f t="shared" si="105"/>
        <v>0</v>
      </c>
      <c r="I187" s="71">
        <f t="shared" si="105"/>
        <v>0</v>
      </c>
      <c r="J187" s="71">
        <f>K187+L187</f>
        <v>0</v>
      </c>
      <c r="K187" s="71">
        <v>0</v>
      </c>
      <c r="L187" s="71">
        <v>0</v>
      </c>
      <c r="M187" s="71">
        <v>0</v>
      </c>
      <c r="N187" s="71">
        <f>O187+P187</f>
        <v>0</v>
      </c>
      <c r="O187" s="71">
        <v>0</v>
      </c>
      <c r="P187" s="71">
        <v>0</v>
      </c>
      <c r="Q187" s="71">
        <v>0</v>
      </c>
    </row>
    <row r="188" spans="1:22" ht="28" customHeight="1" x14ac:dyDescent="0.35">
      <c r="A188" s="266" t="s">
        <v>191</v>
      </c>
      <c r="B188" s="215" t="s">
        <v>192</v>
      </c>
      <c r="C188" s="57">
        <f>C189+C193</f>
        <v>20696438</v>
      </c>
      <c r="D188" s="57">
        <f>D189+D193</f>
        <v>28000000</v>
      </c>
      <c r="E188" s="57">
        <f>E189+E193</f>
        <v>0</v>
      </c>
      <c r="F188" s="59" t="s">
        <v>193</v>
      </c>
      <c r="G188" s="58">
        <f t="shared" si="104"/>
        <v>48696438</v>
      </c>
      <c r="H188" s="58">
        <f t="shared" si="105"/>
        <v>48696438</v>
      </c>
      <c r="I188" s="58">
        <f t="shared" si="105"/>
        <v>0</v>
      </c>
      <c r="J188" s="58">
        <f>J189+J193</f>
        <v>48696438</v>
      </c>
      <c r="K188" s="58">
        <f t="shared" ref="K188:Q188" si="111">K189+K193</f>
        <v>48696438</v>
      </c>
      <c r="L188" s="58">
        <f t="shared" si="111"/>
        <v>0</v>
      </c>
      <c r="M188" s="58">
        <f t="shared" si="111"/>
        <v>0</v>
      </c>
      <c r="N188" s="58">
        <f t="shared" si="111"/>
        <v>0</v>
      </c>
      <c r="O188" s="58">
        <f t="shared" si="111"/>
        <v>0</v>
      </c>
      <c r="P188" s="58">
        <f t="shared" si="111"/>
        <v>0</v>
      </c>
      <c r="Q188" s="58">
        <f t="shared" si="111"/>
        <v>0</v>
      </c>
    </row>
    <row r="189" spans="1:22" s="62" customFormat="1" ht="28" customHeight="1" x14ac:dyDescent="0.35">
      <c r="A189" s="214"/>
      <c r="B189" s="215"/>
      <c r="C189" s="69">
        <f>G191+G192</f>
        <v>20696438</v>
      </c>
      <c r="D189" s="60">
        <v>0</v>
      </c>
      <c r="E189" s="60">
        <v>0</v>
      </c>
      <c r="F189" s="61" t="s">
        <v>36</v>
      </c>
      <c r="G189" s="60">
        <f t="shared" si="104"/>
        <v>20696438</v>
      </c>
      <c r="H189" s="60">
        <f t="shared" si="105"/>
        <v>20696438</v>
      </c>
      <c r="I189" s="60">
        <f t="shared" si="105"/>
        <v>0</v>
      </c>
      <c r="J189" s="60">
        <f>J190+J191+J192</f>
        <v>20696438</v>
      </c>
      <c r="K189" s="60">
        <f t="shared" ref="K189:Q189" si="112">K190+K191+K192</f>
        <v>20696438</v>
      </c>
      <c r="L189" s="60">
        <f t="shared" si="112"/>
        <v>0</v>
      </c>
      <c r="M189" s="60">
        <f t="shared" si="112"/>
        <v>0</v>
      </c>
      <c r="N189" s="60">
        <f t="shared" si="112"/>
        <v>0</v>
      </c>
      <c r="O189" s="60">
        <f t="shared" si="112"/>
        <v>0</v>
      </c>
      <c r="P189" s="60">
        <f t="shared" si="112"/>
        <v>0</v>
      </c>
      <c r="Q189" s="60">
        <f t="shared" si="112"/>
        <v>0</v>
      </c>
    </row>
    <row r="190" spans="1:22" s="62" customFormat="1" ht="28" customHeight="1" x14ac:dyDescent="0.35">
      <c r="A190" s="214"/>
      <c r="B190" s="215"/>
      <c r="C190" s="78"/>
      <c r="D190" s="78"/>
      <c r="E190" s="64"/>
      <c r="F190" s="66" t="s">
        <v>37</v>
      </c>
      <c r="G190" s="67">
        <f t="shared" si="104"/>
        <v>0</v>
      </c>
      <c r="H190" s="67">
        <f t="shared" si="105"/>
        <v>0</v>
      </c>
      <c r="I190" s="67">
        <f t="shared" si="105"/>
        <v>0</v>
      </c>
      <c r="J190" s="67">
        <f>K190+L190</f>
        <v>0</v>
      </c>
      <c r="K190" s="67">
        <v>0</v>
      </c>
      <c r="L190" s="67">
        <v>0</v>
      </c>
      <c r="M190" s="68">
        <v>0</v>
      </c>
      <c r="N190" s="68">
        <f>O190+P190</f>
        <v>0</v>
      </c>
      <c r="O190" s="68">
        <v>0</v>
      </c>
      <c r="P190" s="68">
        <v>0</v>
      </c>
      <c r="Q190" s="68">
        <v>0</v>
      </c>
    </row>
    <row r="191" spans="1:22" s="62" customFormat="1" ht="28" customHeight="1" x14ac:dyDescent="0.35">
      <c r="A191" s="214"/>
      <c r="B191" s="215"/>
      <c r="C191" s="78"/>
      <c r="D191" s="78"/>
      <c r="E191" s="64"/>
      <c r="F191" s="66" t="s">
        <v>38</v>
      </c>
      <c r="G191" s="71">
        <f t="shared" si="104"/>
        <v>16655801</v>
      </c>
      <c r="H191" s="71">
        <f t="shared" si="105"/>
        <v>16655801</v>
      </c>
      <c r="I191" s="71">
        <f t="shared" si="105"/>
        <v>0</v>
      </c>
      <c r="J191" s="71">
        <f>K191+L191</f>
        <v>16655801</v>
      </c>
      <c r="K191" s="71">
        <f>15000000+4000000-539180-1805019</f>
        <v>16655801</v>
      </c>
      <c r="L191" s="71">
        <v>0</v>
      </c>
      <c r="M191" s="71">
        <v>0</v>
      </c>
      <c r="N191" s="71">
        <f>O191+P191</f>
        <v>0</v>
      </c>
      <c r="O191" s="71">
        <v>0</v>
      </c>
      <c r="P191" s="71">
        <v>0</v>
      </c>
      <c r="Q191" s="71">
        <v>0</v>
      </c>
    </row>
    <row r="192" spans="1:22" s="62" customFormat="1" ht="28" customHeight="1" x14ac:dyDescent="0.35">
      <c r="A192" s="214"/>
      <c r="B192" s="215"/>
      <c r="C192" s="78"/>
      <c r="D192" s="78"/>
      <c r="E192" s="64"/>
      <c r="F192" s="66" t="s">
        <v>39</v>
      </c>
      <c r="G192" s="71">
        <f t="shared" si="104"/>
        <v>4040637</v>
      </c>
      <c r="H192" s="71">
        <f t="shared" si="105"/>
        <v>4040637</v>
      </c>
      <c r="I192" s="71">
        <f t="shared" si="105"/>
        <v>0</v>
      </c>
      <c r="J192" s="71">
        <f>K192+L192</f>
        <v>4040637</v>
      </c>
      <c r="K192" s="71">
        <f>5000000-544914-824098-718452+97391+150562-14754+894902</f>
        <v>4040637</v>
      </c>
      <c r="L192" s="71">
        <v>0</v>
      </c>
      <c r="M192" s="71">
        <v>0</v>
      </c>
      <c r="N192" s="71">
        <f>O192+P192</f>
        <v>0</v>
      </c>
      <c r="O192" s="71">
        <v>0</v>
      </c>
      <c r="P192" s="71">
        <v>0</v>
      </c>
      <c r="Q192" s="71">
        <v>0</v>
      </c>
    </row>
    <row r="193" spans="1:17" s="62" customFormat="1" ht="28" customHeight="1" x14ac:dyDescent="0.35">
      <c r="A193" s="214"/>
      <c r="B193" s="215"/>
      <c r="C193" s="60">
        <v>0</v>
      </c>
      <c r="D193" s="102">
        <f>G194</f>
        <v>28000000</v>
      </c>
      <c r="E193" s="60">
        <v>0</v>
      </c>
      <c r="F193" s="61" t="s">
        <v>186</v>
      </c>
      <c r="G193" s="60">
        <f t="shared" si="104"/>
        <v>28000000</v>
      </c>
      <c r="H193" s="60">
        <f t="shared" si="105"/>
        <v>28000000</v>
      </c>
      <c r="I193" s="60">
        <f t="shared" si="105"/>
        <v>0</v>
      </c>
      <c r="J193" s="60">
        <f>J194</f>
        <v>28000000</v>
      </c>
      <c r="K193" s="60">
        <f t="shared" ref="K193:Q193" si="113">K194</f>
        <v>28000000</v>
      </c>
      <c r="L193" s="60">
        <f t="shared" si="113"/>
        <v>0</v>
      </c>
      <c r="M193" s="60">
        <f t="shared" si="113"/>
        <v>0</v>
      </c>
      <c r="N193" s="60">
        <f t="shared" si="113"/>
        <v>0</v>
      </c>
      <c r="O193" s="60">
        <f t="shared" si="113"/>
        <v>0</v>
      </c>
      <c r="P193" s="60">
        <f t="shared" si="113"/>
        <v>0</v>
      </c>
      <c r="Q193" s="60">
        <f t="shared" si="113"/>
        <v>0</v>
      </c>
    </row>
    <row r="194" spans="1:17" s="62" customFormat="1" ht="28" customHeight="1" x14ac:dyDescent="0.35">
      <c r="A194" s="214"/>
      <c r="B194" s="215"/>
      <c r="C194" s="78"/>
      <c r="D194" s="78"/>
      <c r="E194" s="64"/>
      <c r="F194" s="66" t="s">
        <v>187</v>
      </c>
      <c r="G194" s="103">
        <f t="shared" si="104"/>
        <v>28000000</v>
      </c>
      <c r="H194" s="103">
        <f t="shared" si="105"/>
        <v>28000000</v>
      </c>
      <c r="I194" s="103">
        <f t="shared" si="105"/>
        <v>0</v>
      </c>
      <c r="J194" s="103">
        <f>K194+L194</f>
        <v>28000000</v>
      </c>
      <c r="K194" s="103">
        <f>20000000+8000000</f>
        <v>28000000</v>
      </c>
      <c r="L194" s="103">
        <v>0</v>
      </c>
      <c r="M194" s="103">
        <v>0</v>
      </c>
      <c r="N194" s="103">
        <f>O194+P194</f>
        <v>0</v>
      </c>
      <c r="O194" s="103">
        <v>0</v>
      </c>
      <c r="P194" s="103">
        <v>0</v>
      </c>
      <c r="Q194" s="103">
        <v>0</v>
      </c>
    </row>
    <row r="195" spans="1:17" s="62" customFormat="1" ht="28" customHeight="1" x14ac:dyDescent="0.35">
      <c r="A195" s="266" t="s">
        <v>194</v>
      </c>
      <c r="B195" s="215" t="s">
        <v>195</v>
      </c>
      <c r="C195" s="57">
        <f>C196+C200</f>
        <v>5032155</v>
      </c>
      <c r="D195" s="57">
        <f>D196+D200</f>
        <v>3200000</v>
      </c>
      <c r="E195" s="57">
        <f>E196+E200</f>
        <v>0</v>
      </c>
      <c r="F195" s="59" t="s">
        <v>196</v>
      </c>
      <c r="G195" s="58">
        <f t="shared" si="104"/>
        <v>46160811</v>
      </c>
      <c r="H195" s="58">
        <f t="shared" si="105"/>
        <v>23290155</v>
      </c>
      <c r="I195" s="58">
        <f t="shared" si="105"/>
        <v>7000000</v>
      </c>
      <c r="J195" s="58">
        <f>J196+J200</f>
        <v>30290155</v>
      </c>
      <c r="K195" s="58">
        <f t="shared" ref="K195:Q195" si="114">K196+K200</f>
        <v>23290155</v>
      </c>
      <c r="L195" s="58">
        <f t="shared" si="114"/>
        <v>7000000</v>
      </c>
      <c r="M195" s="58">
        <f t="shared" si="114"/>
        <v>15870656</v>
      </c>
      <c r="N195" s="58">
        <f t="shared" si="114"/>
        <v>0</v>
      </c>
      <c r="O195" s="58">
        <f t="shared" si="114"/>
        <v>0</v>
      </c>
      <c r="P195" s="58">
        <f t="shared" si="114"/>
        <v>0</v>
      </c>
      <c r="Q195" s="58">
        <f t="shared" si="114"/>
        <v>0</v>
      </c>
    </row>
    <row r="196" spans="1:17" ht="28" customHeight="1" x14ac:dyDescent="0.35">
      <c r="A196" s="214"/>
      <c r="B196" s="215"/>
      <c r="C196" s="69">
        <f>G198+G199</f>
        <v>5032155</v>
      </c>
      <c r="D196" s="60">
        <v>0</v>
      </c>
      <c r="E196" s="60">
        <v>0</v>
      </c>
      <c r="F196" s="61" t="s">
        <v>150</v>
      </c>
      <c r="G196" s="60">
        <f t="shared" si="104"/>
        <v>42960811</v>
      </c>
      <c r="H196" s="60">
        <f t="shared" si="105"/>
        <v>20090155</v>
      </c>
      <c r="I196" s="60">
        <f t="shared" si="105"/>
        <v>7000000</v>
      </c>
      <c r="J196" s="60">
        <f>J197+J198+J199</f>
        <v>27090155</v>
      </c>
      <c r="K196" s="60">
        <f t="shared" ref="K196:Q196" si="115">K197+K198+K199</f>
        <v>20090155</v>
      </c>
      <c r="L196" s="60">
        <f t="shared" si="115"/>
        <v>7000000</v>
      </c>
      <c r="M196" s="60">
        <f t="shared" si="115"/>
        <v>15870656</v>
      </c>
      <c r="N196" s="60">
        <f t="shared" si="115"/>
        <v>0</v>
      </c>
      <c r="O196" s="60">
        <f t="shared" si="115"/>
        <v>0</v>
      </c>
      <c r="P196" s="60">
        <f t="shared" si="115"/>
        <v>0</v>
      </c>
      <c r="Q196" s="60">
        <f t="shared" si="115"/>
        <v>0</v>
      </c>
    </row>
    <row r="197" spans="1:17" ht="28" customHeight="1" x14ac:dyDescent="0.35">
      <c r="A197" s="214"/>
      <c r="B197" s="215"/>
      <c r="C197" s="78"/>
      <c r="D197" s="78"/>
      <c r="E197" s="19"/>
      <c r="F197" s="66" t="s">
        <v>151</v>
      </c>
      <c r="G197" s="67">
        <f t="shared" si="104"/>
        <v>37928656</v>
      </c>
      <c r="H197" s="67">
        <f t="shared" si="105"/>
        <v>15058000</v>
      </c>
      <c r="I197" s="67">
        <f t="shared" si="105"/>
        <v>7000000</v>
      </c>
      <c r="J197" s="67">
        <f>K197+L197</f>
        <v>22058000</v>
      </c>
      <c r="K197" s="67">
        <f>9058000+6000000</f>
        <v>15058000</v>
      </c>
      <c r="L197" s="67">
        <v>7000000</v>
      </c>
      <c r="M197" s="68">
        <f>1870656+14000000</f>
        <v>15870656</v>
      </c>
      <c r="N197" s="68">
        <f>O197+P197</f>
        <v>0</v>
      </c>
      <c r="O197" s="68">
        <v>0</v>
      </c>
      <c r="P197" s="68">
        <v>0</v>
      </c>
      <c r="Q197" s="68">
        <v>0</v>
      </c>
    </row>
    <row r="198" spans="1:17" ht="28" customHeight="1" x14ac:dyDescent="0.35">
      <c r="A198" s="214"/>
      <c r="B198" s="215"/>
      <c r="C198" s="78"/>
      <c r="D198" s="78"/>
      <c r="E198" s="19"/>
      <c r="F198" s="66" t="s">
        <v>152</v>
      </c>
      <c r="G198" s="71">
        <f t="shared" si="104"/>
        <v>5032155</v>
      </c>
      <c r="H198" s="71">
        <f t="shared" si="105"/>
        <v>5032155</v>
      </c>
      <c r="I198" s="71">
        <f t="shared" si="105"/>
        <v>0</v>
      </c>
      <c r="J198" s="71">
        <f>K198+L198</f>
        <v>5032155</v>
      </c>
      <c r="K198" s="71">
        <f>9350000-1087472-1087472-2142901</f>
        <v>5032155</v>
      </c>
      <c r="L198" s="71">
        <v>0</v>
      </c>
      <c r="M198" s="71">
        <v>0</v>
      </c>
      <c r="N198" s="71">
        <f>O198+P198</f>
        <v>0</v>
      </c>
      <c r="O198" s="71">
        <v>0</v>
      </c>
      <c r="P198" s="71">
        <v>0</v>
      </c>
      <c r="Q198" s="71">
        <v>0</v>
      </c>
    </row>
    <row r="199" spans="1:17" ht="28" customHeight="1" x14ac:dyDescent="0.35">
      <c r="A199" s="214"/>
      <c r="B199" s="215"/>
      <c r="C199" s="78"/>
      <c r="D199" s="78"/>
      <c r="E199" s="19"/>
      <c r="F199" s="66" t="s">
        <v>153</v>
      </c>
      <c r="G199" s="71">
        <f t="shared" si="104"/>
        <v>0</v>
      </c>
      <c r="H199" s="71">
        <f t="shared" si="105"/>
        <v>0</v>
      </c>
      <c r="I199" s="71">
        <f t="shared" si="105"/>
        <v>0</v>
      </c>
      <c r="J199" s="71">
        <f>K199+L199</f>
        <v>0</v>
      </c>
      <c r="K199" s="71">
        <v>0</v>
      </c>
      <c r="L199" s="71">
        <v>0</v>
      </c>
      <c r="M199" s="71">
        <v>0</v>
      </c>
      <c r="N199" s="71">
        <f>O199+P199</f>
        <v>0</v>
      </c>
      <c r="O199" s="71">
        <v>0</v>
      </c>
      <c r="P199" s="71">
        <v>0</v>
      </c>
      <c r="Q199" s="71">
        <v>0</v>
      </c>
    </row>
    <row r="200" spans="1:17" ht="28" customHeight="1" x14ac:dyDescent="0.35">
      <c r="A200" s="214"/>
      <c r="B200" s="215"/>
      <c r="C200" s="60">
        <v>0</v>
      </c>
      <c r="D200" s="102">
        <f>G201</f>
        <v>3200000</v>
      </c>
      <c r="E200" s="60">
        <v>0</v>
      </c>
      <c r="F200" s="61" t="s">
        <v>186</v>
      </c>
      <c r="G200" s="60">
        <f t="shared" si="104"/>
        <v>3200000</v>
      </c>
      <c r="H200" s="60">
        <f t="shared" si="105"/>
        <v>3200000</v>
      </c>
      <c r="I200" s="60">
        <f t="shared" si="105"/>
        <v>0</v>
      </c>
      <c r="J200" s="60">
        <f>J201</f>
        <v>3200000</v>
      </c>
      <c r="K200" s="60">
        <f t="shared" ref="K200:Q200" si="116">K201</f>
        <v>3200000</v>
      </c>
      <c r="L200" s="60">
        <f t="shared" si="116"/>
        <v>0</v>
      </c>
      <c r="M200" s="60">
        <f t="shared" si="116"/>
        <v>0</v>
      </c>
      <c r="N200" s="60">
        <f t="shared" si="116"/>
        <v>0</v>
      </c>
      <c r="O200" s="60">
        <f t="shared" si="116"/>
        <v>0</v>
      </c>
      <c r="P200" s="60">
        <f t="shared" si="116"/>
        <v>0</v>
      </c>
      <c r="Q200" s="60">
        <f t="shared" si="116"/>
        <v>0</v>
      </c>
    </row>
    <row r="201" spans="1:17" ht="28" customHeight="1" x14ac:dyDescent="0.35">
      <c r="A201" s="214"/>
      <c r="B201" s="215"/>
      <c r="C201" s="78"/>
      <c r="D201" s="78"/>
      <c r="E201" s="19"/>
      <c r="F201" s="66" t="s">
        <v>187</v>
      </c>
      <c r="G201" s="103">
        <f t="shared" si="104"/>
        <v>3200000</v>
      </c>
      <c r="H201" s="103">
        <f t="shared" si="105"/>
        <v>3200000</v>
      </c>
      <c r="I201" s="103">
        <f t="shared" si="105"/>
        <v>0</v>
      </c>
      <c r="J201" s="103">
        <f>K201+L201</f>
        <v>3200000</v>
      </c>
      <c r="K201" s="103">
        <f>7000000-3800000</f>
        <v>3200000</v>
      </c>
      <c r="L201" s="103">
        <v>0</v>
      </c>
      <c r="M201" s="103">
        <v>0</v>
      </c>
      <c r="N201" s="103">
        <f>O201+P201</f>
        <v>0</v>
      </c>
      <c r="O201" s="103">
        <v>0</v>
      </c>
      <c r="P201" s="103">
        <v>0</v>
      </c>
      <c r="Q201" s="103">
        <v>0</v>
      </c>
    </row>
    <row r="202" spans="1:17" ht="28" customHeight="1" x14ac:dyDescent="0.35">
      <c r="A202" s="266" t="s">
        <v>197</v>
      </c>
      <c r="B202" s="215" t="s">
        <v>198</v>
      </c>
      <c r="C202" s="57">
        <f>C203+C207</f>
        <v>12979020</v>
      </c>
      <c r="D202" s="57">
        <f>D203+D207</f>
        <v>18500000</v>
      </c>
      <c r="E202" s="57">
        <f>E203+E207</f>
        <v>0</v>
      </c>
      <c r="F202" s="59" t="s">
        <v>199</v>
      </c>
      <c r="G202" s="58">
        <f t="shared" si="104"/>
        <v>31479020</v>
      </c>
      <c r="H202" s="58">
        <f t="shared" si="105"/>
        <v>31479020</v>
      </c>
      <c r="I202" s="58">
        <f t="shared" si="105"/>
        <v>0</v>
      </c>
      <c r="J202" s="58">
        <f>J203+J207</f>
        <v>31479020</v>
      </c>
      <c r="K202" s="58">
        <f t="shared" ref="K202:Q202" si="117">K203+K207</f>
        <v>31479020</v>
      </c>
      <c r="L202" s="58">
        <f t="shared" si="117"/>
        <v>0</v>
      </c>
      <c r="M202" s="58">
        <f t="shared" si="117"/>
        <v>0</v>
      </c>
      <c r="N202" s="58">
        <f t="shared" si="117"/>
        <v>0</v>
      </c>
      <c r="O202" s="58">
        <f t="shared" si="117"/>
        <v>0</v>
      </c>
      <c r="P202" s="58">
        <f t="shared" si="117"/>
        <v>0</v>
      </c>
      <c r="Q202" s="58">
        <f t="shared" si="117"/>
        <v>0</v>
      </c>
    </row>
    <row r="203" spans="1:17" s="62" customFormat="1" ht="28" customHeight="1" x14ac:dyDescent="0.35">
      <c r="A203" s="214"/>
      <c r="B203" s="215"/>
      <c r="C203" s="69">
        <f>G205+G206</f>
        <v>12979020</v>
      </c>
      <c r="D203" s="60">
        <v>0</v>
      </c>
      <c r="E203" s="60">
        <v>0</v>
      </c>
      <c r="F203" s="61" t="s">
        <v>36</v>
      </c>
      <c r="G203" s="60">
        <f t="shared" si="104"/>
        <v>12979020</v>
      </c>
      <c r="H203" s="60">
        <f t="shared" si="105"/>
        <v>12979020</v>
      </c>
      <c r="I203" s="60">
        <f t="shared" si="105"/>
        <v>0</v>
      </c>
      <c r="J203" s="60">
        <f>J204+J205+J206</f>
        <v>12979020</v>
      </c>
      <c r="K203" s="60">
        <f t="shared" ref="K203:Q203" si="118">K204+K205+K206</f>
        <v>12979020</v>
      </c>
      <c r="L203" s="60">
        <f t="shared" si="118"/>
        <v>0</v>
      </c>
      <c r="M203" s="60">
        <f t="shared" si="118"/>
        <v>0</v>
      </c>
      <c r="N203" s="60">
        <f t="shared" si="118"/>
        <v>0</v>
      </c>
      <c r="O203" s="60">
        <f t="shared" si="118"/>
        <v>0</v>
      </c>
      <c r="P203" s="60">
        <f t="shared" si="118"/>
        <v>0</v>
      </c>
      <c r="Q203" s="60">
        <f t="shared" si="118"/>
        <v>0</v>
      </c>
    </row>
    <row r="204" spans="1:17" s="62" customFormat="1" ht="28" customHeight="1" x14ac:dyDescent="0.35">
      <c r="A204" s="214"/>
      <c r="B204" s="215"/>
      <c r="C204" s="78"/>
      <c r="D204" s="78"/>
      <c r="E204" s="64"/>
      <c r="F204" s="66" t="s">
        <v>37</v>
      </c>
      <c r="G204" s="67">
        <f t="shared" si="104"/>
        <v>0</v>
      </c>
      <c r="H204" s="67">
        <f t="shared" si="105"/>
        <v>0</v>
      </c>
      <c r="I204" s="67">
        <f t="shared" si="105"/>
        <v>0</v>
      </c>
      <c r="J204" s="67">
        <f>K204+L204</f>
        <v>0</v>
      </c>
      <c r="K204" s="67">
        <v>0</v>
      </c>
      <c r="L204" s="67">
        <v>0</v>
      </c>
      <c r="M204" s="68">
        <v>0</v>
      </c>
      <c r="N204" s="68">
        <f>O204+P204</f>
        <v>0</v>
      </c>
      <c r="O204" s="68">
        <v>0</v>
      </c>
      <c r="P204" s="68">
        <v>0</v>
      </c>
      <c r="Q204" s="68">
        <v>0</v>
      </c>
    </row>
    <row r="205" spans="1:17" s="62" customFormat="1" ht="28" customHeight="1" x14ac:dyDescent="0.35">
      <c r="A205" s="214"/>
      <c r="B205" s="215"/>
      <c r="C205" s="78"/>
      <c r="D205" s="78"/>
      <c r="E205" s="64"/>
      <c r="F205" s="66" t="s">
        <v>38</v>
      </c>
      <c r="G205" s="71">
        <f t="shared" si="104"/>
        <v>12060086</v>
      </c>
      <c r="H205" s="71">
        <f t="shared" si="105"/>
        <v>12060086</v>
      </c>
      <c r="I205" s="71">
        <f t="shared" si="105"/>
        <v>0</v>
      </c>
      <c r="J205" s="71">
        <f>K205+L205</f>
        <v>12060086</v>
      </c>
      <c r="K205" s="71">
        <f>12600000+1000000-539180-1277661+276927</f>
        <v>12060086</v>
      </c>
      <c r="L205" s="71">
        <v>0</v>
      </c>
      <c r="M205" s="71">
        <v>0</v>
      </c>
      <c r="N205" s="71">
        <f>O205+P205</f>
        <v>0</v>
      </c>
      <c r="O205" s="71">
        <v>0</v>
      </c>
      <c r="P205" s="71">
        <v>0</v>
      </c>
      <c r="Q205" s="71">
        <v>0</v>
      </c>
    </row>
    <row r="206" spans="1:17" s="62" customFormat="1" ht="28" customHeight="1" x14ac:dyDescent="0.35">
      <c r="A206" s="214"/>
      <c r="B206" s="215"/>
      <c r="C206" s="78"/>
      <c r="D206" s="78"/>
      <c r="E206" s="64"/>
      <c r="F206" s="66" t="s">
        <v>39</v>
      </c>
      <c r="G206" s="71">
        <f t="shared" si="104"/>
        <v>918934</v>
      </c>
      <c r="H206" s="71">
        <f t="shared" si="105"/>
        <v>918934</v>
      </c>
      <c r="I206" s="71">
        <f t="shared" si="105"/>
        <v>0</v>
      </c>
      <c r="J206" s="71">
        <f>K206+L206</f>
        <v>918934</v>
      </c>
      <c r="K206" s="71">
        <f>2400000-97391-261559-395567-344857-150562-231130</f>
        <v>918934</v>
      </c>
      <c r="L206" s="71">
        <v>0</v>
      </c>
      <c r="M206" s="71">
        <v>0</v>
      </c>
      <c r="N206" s="71">
        <f>O206+P206</f>
        <v>0</v>
      </c>
      <c r="O206" s="71">
        <v>0</v>
      </c>
      <c r="P206" s="71">
        <v>0</v>
      </c>
      <c r="Q206" s="71">
        <v>0</v>
      </c>
    </row>
    <row r="207" spans="1:17" s="62" customFormat="1" ht="28" customHeight="1" x14ac:dyDescent="0.35">
      <c r="A207" s="214"/>
      <c r="B207" s="215"/>
      <c r="C207" s="60">
        <v>0</v>
      </c>
      <c r="D207" s="102">
        <f>G208</f>
        <v>18500000</v>
      </c>
      <c r="E207" s="60">
        <v>0</v>
      </c>
      <c r="F207" s="61" t="s">
        <v>186</v>
      </c>
      <c r="G207" s="60">
        <f t="shared" si="104"/>
        <v>18500000</v>
      </c>
      <c r="H207" s="60">
        <f t="shared" si="105"/>
        <v>18500000</v>
      </c>
      <c r="I207" s="60">
        <f t="shared" si="105"/>
        <v>0</v>
      </c>
      <c r="J207" s="60">
        <f>J208</f>
        <v>18500000</v>
      </c>
      <c r="K207" s="60">
        <f t="shared" ref="K207:Q207" si="119">K208</f>
        <v>18500000</v>
      </c>
      <c r="L207" s="60">
        <f t="shared" si="119"/>
        <v>0</v>
      </c>
      <c r="M207" s="60">
        <f t="shared" si="119"/>
        <v>0</v>
      </c>
      <c r="N207" s="60">
        <f t="shared" si="119"/>
        <v>0</v>
      </c>
      <c r="O207" s="60">
        <f t="shared" si="119"/>
        <v>0</v>
      </c>
      <c r="P207" s="60">
        <f t="shared" si="119"/>
        <v>0</v>
      </c>
      <c r="Q207" s="60">
        <f t="shared" si="119"/>
        <v>0</v>
      </c>
    </row>
    <row r="208" spans="1:17" s="62" customFormat="1" ht="28" customHeight="1" x14ac:dyDescent="0.35">
      <c r="A208" s="214"/>
      <c r="B208" s="215"/>
      <c r="C208" s="78"/>
      <c r="D208" s="78"/>
      <c r="E208" s="64"/>
      <c r="F208" s="66" t="s">
        <v>187</v>
      </c>
      <c r="G208" s="103">
        <f t="shared" si="104"/>
        <v>18500000</v>
      </c>
      <c r="H208" s="103">
        <f t="shared" si="105"/>
        <v>18500000</v>
      </c>
      <c r="I208" s="103">
        <f t="shared" si="105"/>
        <v>0</v>
      </c>
      <c r="J208" s="103">
        <f>K208+L208</f>
        <v>18500000</v>
      </c>
      <c r="K208" s="103">
        <f>15000000+3500000</f>
        <v>18500000</v>
      </c>
      <c r="L208" s="103">
        <v>0</v>
      </c>
      <c r="M208" s="103">
        <v>0</v>
      </c>
      <c r="N208" s="103">
        <f>O208+P208</f>
        <v>0</v>
      </c>
      <c r="O208" s="103">
        <v>0</v>
      </c>
      <c r="P208" s="103">
        <v>0</v>
      </c>
      <c r="Q208" s="103">
        <v>0</v>
      </c>
    </row>
    <row r="209" spans="1:17" s="62" customFormat="1" ht="28" customHeight="1" x14ac:dyDescent="0.35">
      <c r="A209" s="266" t="s">
        <v>200</v>
      </c>
      <c r="B209" s="215" t="s">
        <v>201</v>
      </c>
      <c r="C209" s="56">
        <f>C210</f>
        <v>0</v>
      </c>
      <c r="D209" s="57">
        <f>D210</f>
        <v>0</v>
      </c>
      <c r="E209" s="58">
        <f>E210</f>
        <v>0</v>
      </c>
      <c r="F209" s="59" t="s">
        <v>202</v>
      </c>
      <c r="G209" s="58">
        <f t="shared" si="104"/>
        <v>69974493</v>
      </c>
      <c r="H209" s="58">
        <f t="shared" si="105"/>
        <v>22946000</v>
      </c>
      <c r="I209" s="58">
        <f t="shared" si="105"/>
        <v>0</v>
      </c>
      <c r="J209" s="58">
        <f>J210</f>
        <v>22946000</v>
      </c>
      <c r="K209" s="58">
        <f t="shared" ref="K209:Q210" si="120">K210</f>
        <v>22946000</v>
      </c>
      <c r="L209" s="58">
        <f t="shared" si="120"/>
        <v>0</v>
      </c>
      <c r="M209" s="58">
        <f t="shared" si="120"/>
        <v>47028493</v>
      </c>
      <c r="N209" s="58">
        <f t="shared" si="120"/>
        <v>0</v>
      </c>
      <c r="O209" s="58">
        <f t="shared" si="120"/>
        <v>0</v>
      </c>
      <c r="P209" s="58">
        <f t="shared" si="120"/>
        <v>0</v>
      </c>
      <c r="Q209" s="58">
        <f t="shared" si="120"/>
        <v>0</v>
      </c>
    </row>
    <row r="210" spans="1:17" ht="28" customHeight="1" x14ac:dyDescent="0.35">
      <c r="A210" s="214"/>
      <c r="B210" s="215"/>
      <c r="C210" s="19">
        <v>0</v>
      </c>
      <c r="D210" s="19">
        <v>0</v>
      </c>
      <c r="E210" s="19">
        <v>0</v>
      </c>
      <c r="F210" s="61" t="s">
        <v>150</v>
      </c>
      <c r="G210" s="60">
        <f t="shared" si="104"/>
        <v>69974493</v>
      </c>
      <c r="H210" s="60">
        <f t="shared" si="105"/>
        <v>22946000</v>
      </c>
      <c r="I210" s="60">
        <f t="shared" si="105"/>
        <v>0</v>
      </c>
      <c r="J210" s="60">
        <f>J211</f>
        <v>22946000</v>
      </c>
      <c r="K210" s="60">
        <f t="shared" si="120"/>
        <v>22946000</v>
      </c>
      <c r="L210" s="60">
        <f t="shared" si="120"/>
        <v>0</v>
      </c>
      <c r="M210" s="60">
        <f t="shared" si="120"/>
        <v>47028493</v>
      </c>
      <c r="N210" s="60">
        <f t="shared" si="120"/>
        <v>0</v>
      </c>
      <c r="O210" s="60">
        <f t="shared" si="120"/>
        <v>0</v>
      </c>
      <c r="P210" s="60">
        <f t="shared" si="120"/>
        <v>0</v>
      </c>
      <c r="Q210" s="60">
        <f t="shared" si="120"/>
        <v>0</v>
      </c>
    </row>
    <row r="211" spans="1:17" ht="28" customHeight="1" x14ac:dyDescent="0.35">
      <c r="A211" s="214"/>
      <c r="B211" s="215"/>
      <c r="C211" s="78"/>
      <c r="D211" s="78"/>
      <c r="E211" s="19"/>
      <c r="F211" s="66" t="s">
        <v>151</v>
      </c>
      <c r="G211" s="67">
        <f t="shared" si="104"/>
        <v>69974493</v>
      </c>
      <c r="H211" s="67">
        <f t="shared" si="105"/>
        <v>22946000</v>
      </c>
      <c r="I211" s="67">
        <f t="shared" si="105"/>
        <v>0</v>
      </c>
      <c r="J211" s="67">
        <f>K211+L211</f>
        <v>22946000</v>
      </c>
      <c r="K211" s="67">
        <v>22946000</v>
      </c>
      <c r="L211" s="67">
        <v>0</v>
      </c>
      <c r="M211" s="68">
        <f>33860493+13168000</f>
        <v>47028493</v>
      </c>
      <c r="N211" s="68">
        <f>O211+P211</f>
        <v>0</v>
      </c>
      <c r="O211" s="68">
        <v>0</v>
      </c>
      <c r="P211" s="68">
        <v>0</v>
      </c>
      <c r="Q211" s="68">
        <v>0</v>
      </c>
    </row>
    <row r="212" spans="1:17" ht="28" customHeight="1" x14ac:dyDescent="0.35">
      <c r="A212" s="266" t="s">
        <v>203</v>
      </c>
      <c r="B212" s="215" t="s">
        <v>204</v>
      </c>
      <c r="C212" s="56">
        <f>C213</f>
        <v>41532973</v>
      </c>
      <c r="D212" s="57">
        <f>D213</f>
        <v>0</v>
      </c>
      <c r="E212" s="58">
        <f>E213</f>
        <v>0</v>
      </c>
      <c r="F212" s="59" t="s">
        <v>205</v>
      </c>
      <c r="G212" s="58">
        <f t="shared" si="104"/>
        <v>41532973</v>
      </c>
      <c r="H212" s="58">
        <f t="shared" si="105"/>
        <v>41532973</v>
      </c>
      <c r="I212" s="58">
        <f t="shared" si="105"/>
        <v>0</v>
      </c>
      <c r="J212" s="58">
        <f>J213</f>
        <v>41532973</v>
      </c>
      <c r="K212" s="58">
        <f t="shared" ref="K212:Q212" si="121">K213</f>
        <v>41532973</v>
      </c>
      <c r="L212" s="58">
        <f t="shared" si="121"/>
        <v>0</v>
      </c>
      <c r="M212" s="58">
        <f t="shared" si="121"/>
        <v>0</v>
      </c>
      <c r="N212" s="58">
        <f t="shared" si="121"/>
        <v>0</v>
      </c>
      <c r="O212" s="58">
        <f t="shared" si="121"/>
        <v>0</v>
      </c>
      <c r="P212" s="58">
        <f t="shared" si="121"/>
        <v>0</v>
      </c>
      <c r="Q212" s="58">
        <f t="shared" si="121"/>
        <v>0</v>
      </c>
    </row>
    <row r="213" spans="1:17" ht="28" customHeight="1" x14ac:dyDescent="0.35">
      <c r="A213" s="214"/>
      <c r="B213" s="215"/>
      <c r="C213" s="69">
        <f>G215+G216</f>
        <v>41532973</v>
      </c>
      <c r="D213" s="60">
        <v>0</v>
      </c>
      <c r="E213" s="60">
        <v>0</v>
      </c>
      <c r="F213" s="61" t="s">
        <v>150</v>
      </c>
      <c r="G213" s="60">
        <f t="shared" si="104"/>
        <v>41532973</v>
      </c>
      <c r="H213" s="60">
        <f t="shared" si="105"/>
        <v>41532973</v>
      </c>
      <c r="I213" s="60">
        <f t="shared" si="105"/>
        <v>0</v>
      </c>
      <c r="J213" s="60">
        <f>J214+J215+J216</f>
        <v>41532973</v>
      </c>
      <c r="K213" s="60">
        <f t="shared" ref="K213:Q213" si="122">K214+K215+K216</f>
        <v>41532973</v>
      </c>
      <c r="L213" s="60">
        <f t="shared" si="122"/>
        <v>0</v>
      </c>
      <c r="M213" s="60">
        <f t="shared" si="122"/>
        <v>0</v>
      </c>
      <c r="N213" s="60">
        <f t="shared" si="122"/>
        <v>0</v>
      </c>
      <c r="O213" s="60">
        <f t="shared" si="122"/>
        <v>0</v>
      </c>
      <c r="P213" s="60">
        <f t="shared" si="122"/>
        <v>0</v>
      </c>
      <c r="Q213" s="60">
        <f t="shared" si="122"/>
        <v>0</v>
      </c>
    </row>
    <row r="214" spans="1:17" ht="28" customHeight="1" x14ac:dyDescent="0.35">
      <c r="A214" s="214"/>
      <c r="B214" s="215"/>
      <c r="C214" s="78"/>
      <c r="D214" s="78"/>
      <c r="E214" s="19"/>
      <c r="F214" s="66" t="s">
        <v>151</v>
      </c>
      <c r="G214" s="67">
        <f t="shared" si="104"/>
        <v>0</v>
      </c>
      <c r="H214" s="67">
        <f t="shared" si="105"/>
        <v>0</v>
      </c>
      <c r="I214" s="67">
        <f t="shared" si="105"/>
        <v>0</v>
      </c>
      <c r="J214" s="67">
        <f>K214+L214</f>
        <v>0</v>
      </c>
      <c r="K214" s="67">
        <f>20349970-20349970</f>
        <v>0</v>
      </c>
      <c r="L214" s="67">
        <v>0</v>
      </c>
      <c r="M214" s="68">
        <f>17323898-17323898</f>
        <v>0</v>
      </c>
      <c r="N214" s="68">
        <f>O214+P214</f>
        <v>0</v>
      </c>
      <c r="O214" s="68">
        <v>0</v>
      </c>
      <c r="P214" s="68">
        <v>0</v>
      </c>
      <c r="Q214" s="68">
        <v>0</v>
      </c>
    </row>
    <row r="215" spans="1:17" ht="28" customHeight="1" x14ac:dyDescent="0.35">
      <c r="A215" s="214"/>
      <c r="B215" s="215"/>
      <c r="C215" s="78"/>
      <c r="D215" s="78"/>
      <c r="E215" s="19"/>
      <c r="F215" s="66" t="s">
        <v>152</v>
      </c>
      <c r="G215" s="71">
        <f t="shared" si="104"/>
        <v>40027025</v>
      </c>
      <c r="H215" s="71">
        <f t="shared" si="105"/>
        <v>40027025</v>
      </c>
      <c r="I215" s="71">
        <f t="shared" si="105"/>
        <v>0</v>
      </c>
      <c r="J215" s="71">
        <f>K215+L215</f>
        <v>40027025</v>
      </c>
      <c r="K215" s="71">
        <f>49170030-5000000-993624-6177625+3028244</f>
        <v>40027025</v>
      </c>
      <c r="L215" s="71">
        <v>0</v>
      </c>
      <c r="M215" s="71">
        <v>0</v>
      </c>
      <c r="N215" s="71">
        <f>O215+P215</f>
        <v>0</v>
      </c>
      <c r="O215" s="71">
        <v>0</v>
      </c>
      <c r="P215" s="71">
        <v>0</v>
      </c>
      <c r="Q215" s="71">
        <v>0</v>
      </c>
    </row>
    <row r="216" spans="1:17" ht="28" customHeight="1" x14ac:dyDescent="0.35">
      <c r="A216" s="214"/>
      <c r="B216" s="215"/>
      <c r="C216" s="78"/>
      <c r="D216" s="78"/>
      <c r="E216" s="19"/>
      <c r="F216" s="66" t="s">
        <v>153</v>
      </c>
      <c r="G216" s="71">
        <f t="shared" si="104"/>
        <v>1505948</v>
      </c>
      <c r="H216" s="71">
        <f t="shared" si="105"/>
        <v>1505948</v>
      </c>
      <c r="I216" s="71">
        <f t="shared" si="105"/>
        <v>0</v>
      </c>
      <c r="J216" s="71">
        <f>K216+L216</f>
        <v>1505948</v>
      </c>
      <c r="K216" s="71">
        <f>5180000-136926-158685-113252-1618924-7958-1638307</f>
        <v>1505948</v>
      </c>
      <c r="L216" s="71">
        <v>0</v>
      </c>
      <c r="M216" s="71">
        <v>0</v>
      </c>
      <c r="N216" s="71">
        <f>O216+P216</f>
        <v>0</v>
      </c>
      <c r="O216" s="71">
        <v>0</v>
      </c>
      <c r="P216" s="71">
        <v>0</v>
      </c>
      <c r="Q216" s="71">
        <v>0</v>
      </c>
    </row>
    <row r="217" spans="1:17" ht="28" customHeight="1" x14ac:dyDescent="0.35">
      <c r="A217" s="263" t="s">
        <v>206</v>
      </c>
      <c r="B217" s="215" t="s">
        <v>207</v>
      </c>
      <c r="C217" s="56">
        <f>C218</f>
        <v>39664239</v>
      </c>
      <c r="D217" s="57">
        <f>D218</f>
        <v>0</v>
      </c>
      <c r="E217" s="58">
        <f>E218</f>
        <v>0</v>
      </c>
      <c r="F217" s="59" t="s">
        <v>208</v>
      </c>
      <c r="G217" s="58">
        <f t="shared" si="104"/>
        <v>39664239</v>
      </c>
      <c r="H217" s="58">
        <f t="shared" si="105"/>
        <v>39664239</v>
      </c>
      <c r="I217" s="58">
        <f t="shared" si="105"/>
        <v>0</v>
      </c>
      <c r="J217" s="58">
        <f>J218</f>
        <v>39664239</v>
      </c>
      <c r="K217" s="58">
        <f t="shared" ref="K217:Q217" si="123">K218</f>
        <v>39664239</v>
      </c>
      <c r="L217" s="58">
        <f t="shared" si="123"/>
        <v>0</v>
      </c>
      <c r="M217" s="58">
        <f t="shared" si="123"/>
        <v>0</v>
      </c>
      <c r="N217" s="58">
        <f t="shared" si="123"/>
        <v>0</v>
      </c>
      <c r="O217" s="58">
        <f t="shared" si="123"/>
        <v>0</v>
      </c>
      <c r="P217" s="58">
        <f t="shared" si="123"/>
        <v>0</v>
      </c>
      <c r="Q217" s="58">
        <f t="shared" si="123"/>
        <v>0</v>
      </c>
    </row>
    <row r="218" spans="1:17" ht="28" customHeight="1" x14ac:dyDescent="0.35">
      <c r="A218" s="252"/>
      <c r="B218" s="215"/>
      <c r="C218" s="69">
        <f>G220+G221</f>
        <v>39664239</v>
      </c>
      <c r="D218" s="60">
        <v>0</v>
      </c>
      <c r="E218" s="60">
        <v>0</v>
      </c>
      <c r="F218" s="61" t="s">
        <v>150</v>
      </c>
      <c r="G218" s="60">
        <f t="shared" si="104"/>
        <v>39664239</v>
      </c>
      <c r="H218" s="60">
        <f t="shared" si="105"/>
        <v>39664239</v>
      </c>
      <c r="I218" s="60">
        <f t="shared" si="105"/>
        <v>0</v>
      </c>
      <c r="J218" s="60">
        <f>J219+J220+J221</f>
        <v>39664239</v>
      </c>
      <c r="K218" s="60">
        <f t="shared" ref="K218:Q218" si="124">K219+K220+K221</f>
        <v>39664239</v>
      </c>
      <c r="L218" s="60">
        <f t="shared" si="124"/>
        <v>0</v>
      </c>
      <c r="M218" s="60">
        <f t="shared" si="124"/>
        <v>0</v>
      </c>
      <c r="N218" s="60">
        <f t="shared" si="124"/>
        <v>0</v>
      </c>
      <c r="O218" s="60">
        <f t="shared" si="124"/>
        <v>0</v>
      </c>
      <c r="P218" s="60">
        <f t="shared" si="124"/>
        <v>0</v>
      </c>
      <c r="Q218" s="60">
        <f t="shared" si="124"/>
        <v>0</v>
      </c>
    </row>
    <row r="219" spans="1:17" ht="28" customHeight="1" x14ac:dyDescent="0.35">
      <c r="A219" s="252"/>
      <c r="B219" s="215"/>
      <c r="C219" s="78"/>
      <c r="D219" s="79"/>
      <c r="E219" s="78"/>
      <c r="F219" s="66" t="s">
        <v>151</v>
      </c>
      <c r="G219" s="67">
        <f t="shared" si="104"/>
        <v>0</v>
      </c>
      <c r="H219" s="67">
        <f t="shared" si="105"/>
        <v>0</v>
      </c>
      <c r="I219" s="67">
        <f t="shared" si="105"/>
        <v>0</v>
      </c>
      <c r="J219" s="67">
        <f>K219+L219</f>
        <v>0</v>
      </c>
      <c r="K219" s="67">
        <f>22946000-22946000</f>
        <v>0</v>
      </c>
      <c r="L219" s="67">
        <v>0</v>
      </c>
      <c r="M219" s="68">
        <f>10168000-10168000</f>
        <v>0</v>
      </c>
      <c r="N219" s="68">
        <f>O219+P219</f>
        <v>0</v>
      </c>
      <c r="O219" s="68">
        <v>0</v>
      </c>
      <c r="P219" s="68">
        <v>0</v>
      </c>
      <c r="Q219" s="68">
        <v>0</v>
      </c>
    </row>
    <row r="220" spans="1:17" ht="28" customHeight="1" x14ac:dyDescent="0.35">
      <c r="A220" s="252"/>
      <c r="B220" s="215"/>
      <c r="C220" s="78"/>
      <c r="D220" s="79"/>
      <c r="E220" s="78"/>
      <c r="F220" s="66" t="s">
        <v>152</v>
      </c>
      <c r="G220" s="71">
        <f t="shared" si="104"/>
        <v>39664239</v>
      </c>
      <c r="H220" s="71">
        <f t="shared" si="105"/>
        <v>39664239</v>
      </c>
      <c r="I220" s="71">
        <f t="shared" si="105"/>
        <v>0</v>
      </c>
      <c r="J220" s="71">
        <f>K220+L220</f>
        <v>39664239</v>
      </c>
      <c r="K220" s="71">
        <f>44946000-554904-4726857</f>
        <v>39664239</v>
      </c>
      <c r="L220" s="71">
        <v>0</v>
      </c>
      <c r="M220" s="71">
        <v>0</v>
      </c>
      <c r="N220" s="71">
        <f>O220+P220</f>
        <v>0</v>
      </c>
      <c r="O220" s="71">
        <v>0</v>
      </c>
      <c r="P220" s="71">
        <v>0</v>
      </c>
      <c r="Q220" s="71">
        <v>0</v>
      </c>
    </row>
    <row r="221" spans="1:17" ht="28" customHeight="1" x14ac:dyDescent="0.35">
      <c r="A221" s="252"/>
      <c r="B221" s="215"/>
      <c r="C221" s="78"/>
      <c r="D221" s="79"/>
      <c r="E221" s="78"/>
      <c r="F221" s="66" t="s">
        <v>153</v>
      </c>
      <c r="G221" s="71">
        <f t="shared" si="104"/>
        <v>0</v>
      </c>
      <c r="H221" s="71">
        <f t="shared" si="105"/>
        <v>0</v>
      </c>
      <c r="I221" s="71">
        <f t="shared" si="105"/>
        <v>0</v>
      </c>
      <c r="J221" s="71">
        <f>K221+L221</f>
        <v>0</v>
      </c>
      <c r="K221" s="71">
        <v>0</v>
      </c>
      <c r="L221" s="71">
        <v>0</v>
      </c>
      <c r="M221" s="71">
        <v>0</v>
      </c>
      <c r="N221" s="71">
        <f>O221+P221</f>
        <v>0</v>
      </c>
      <c r="O221" s="71">
        <v>0</v>
      </c>
      <c r="P221" s="71">
        <v>0</v>
      </c>
      <c r="Q221" s="71">
        <v>0</v>
      </c>
    </row>
    <row r="222" spans="1:17" ht="28" customHeight="1" x14ac:dyDescent="0.35">
      <c r="A222" s="263" t="s">
        <v>209</v>
      </c>
      <c r="B222" s="215" t="s">
        <v>210</v>
      </c>
      <c r="C222" s="56">
        <f>C223</f>
        <v>0</v>
      </c>
      <c r="D222" s="57">
        <f>D223</f>
        <v>0</v>
      </c>
      <c r="E222" s="58">
        <f>E223</f>
        <v>0</v>
      </c>
      <c r="F222" s="59" t="s">
        <v>211</v>
      </c>
      <c r="G222" s="58">
        <f t="shared" si="104"/>
        <v>35000000</v>
      </c>
      <c r="H222" s="58">
        <f t="shared" si="105"/>
        <v>0</v>
      </c>
      <c r="I222" s="58">
        <f t="shared" si="105"/>
        <v>0</v>
      </c>
      <c r="J222" s="58">
        <f>J223</f>
        <v>0</v>
      </c>
      <c r="K222" s="58">
        <f t="shared" ref="K222:Q223" si="125">K223</f>
        <v>0</v>
      </c>
      <c r="L222" s="58">
        <f t="shared" si="125"/>
        <v>0</v>
      </c>
      <c r="M222" s="58">
        <f t="shared" si="125"/>
        <v>35000000</v>
      </c>
      <c r="N222" s="58">
        <f t="shared" si="125"/>
        <v>0</v>
      </c>
      <c r="O222" s="58">
        <f t="shared" si="125"/>
        <v>0</v>
      </c>
      <c r="P222" s="58">
        <f t="shared" si="125"/>
        <v>0</v>
      </c>
      <c r="Q222" s="58">
        <f t="shared" si="125"/>
        <v>0</v>
      </c>
    </row>
    <row r="223" spans="1:17" ht="28" customHeight="1" x14ac:dyDescent="0.35">
      <c r="A223" s="252"/>
      <c r="B223" s="215"/>
      <c r="C223" s="60">
        <v>0</v>
      </c>
      <c r="D223" s="60">
        <v>0</v>
      </c>
      <c r="E223" s="60">
        <v>0</v>
      </c>
      <c r="F223" s="61" t="s">
        <v>150</v>
      </c>
      <c r="G223" s="60">
        <f t="shared" si="104"/>
        <v>35000000</v>
      </c>
      <c r="H223" s="60">
        <f t="shared" si="105"/>
        <v>0</v>
      </c>
      <c r="I223" s="60">
        <f t="shared" si="105"/>
        <v>0</v>
      </c>
      <c r="J223" s="60">
        <f>J224</f>
        <v>0</v>
      </c>
      <c r="K223" s="60">
        <f t="shared" si="125"/>
        <v>0</v>
      </c>
      <c r="L223" s="60">
        <f t="shared" si="125"/>
        <v>0</v>
      </c>
      <c r="M223" s="60">
        <f t="shared" si="125"/>
        <v>35000000</v>
      </c>
      <c r="N223" s="60">
        <f t="shared" si="125"/>
        <v>0</v>
      </c>
      <c r="O223" s="60">
        <f t="shared" si="125"/>
        <v>0</v>
      </c>
      <c r="P223" s="60">
        <f t="shared" si="125"/>
        <v>0</v>
      </c>
      <c r="Q223" s="60">
        <f t="shared" si="125"/>
        <v>0</v>
      </c>
    </row>
    <row r="224" spans="1:17" ht="28" customHeight="1" x14ac:dyDescent="0.35">
      <c r="A224" s="252"/>
      <c r="B224" s="215"/>
      <c r="C224" s="104"/>
      <c r="D224" s="79"/>
      <c r="E224" s="19"/>
      <c r="F224" s="66" t="s">
        <v>151</v>
      </c>
      <c r="G224" s="67">
        <f t="shared" si="104"/>
        <v>35000000</v>
      </c>
      <c r="H224" s="67">
        <f t="shared" si="105"/>
        <v>0</v>
      </c>
      <c r="I224" s="67">
        <f t="shared" si="105"/>
        <v>0</v>
      </c>
      <c r="J224" s="68">
        <f>K224+L224</f>
        <v>0</v>
      </c>
      <c r="K224" s="67">
        <v>0</v>
      </c>
      <c r="L224" s="67">
        <v>0</v>
      </c>
      <c r="M224" s="68">
        <v>35000000</v>
      </c>
      <c r="N224" s="68">
        <f>O224+P224</f>
        <v>0</v>
      </c>
      <c r="O224" s="68">
        <v>0</v>
      </c>
      <c r="P224" s="68">
        <v>0</v>
      </c>
      <c r="Q224" s="68">
        <v>0</v>
      </c>
    </row>
    <row r="225" spans="1:17" ht="28" customHeight="1" x14ac:dyDescent="0.35">
      <c r="A225" s="263" t="s">
        <v>212</v>
      </c>
      <c r="B225" s="215" t="s">
        <v>213</v>
      </c>
      <c r="C225" s="56">
        <f>C226</f>
        <v>0</v>
      </c>
      <c r="D225" s="57">
        <f>D226</f>
        <v>0</v>
      </c>
      <c r="E225" s="58">
        <f>E226</f>
        <v>0</v>
      </c>
      <c r="F225" s="59" t="s">
        <v>214</v>
      </c>
      <c r="G225" s="58">
        <f t="shared" si="104"/>
        <v>1000000</v>
      </c>
      <c r="H225" s="58">
        <f t="shared" si="105"/>
        <v>0</v>
      </c>
      <c r="I225" s="58">
        <f t="shared" si="105"/>
        <v>0</v>
      </c>
      <c r="J225" s="58">
        <f>J226</f>
        <v>0</v>
      </c>
      <c r="K225" s="58">
        <f t="shared" ref="K225:Q226" si="126">K226</f>
        <v>0</v>
      </c>
      <c r="L225" s="58">
        <f t="shared" si="126"/>
        <v>0</v>
      </c>
      <c r="M225" s="58">
        <f t="shared" si="126"/>
        <v>1000000</v>
      </c>
      <c r="N225" s="58">
        <f t="shared" si="126"/>
        <v>0</v>
      </c>
      <c r="O225" s="58">
        <f t="shared" si="126"/>
        <v>0</v>
      </c>
      <c r="P225" s="58">
        <f t="shared" si="126"/>
        <v>0</v>
      </c>
      <c r="Q225" s="58">
        <f t="shared" si="126"/>
        <v>0</v>
      </c>
    </row>
    <row r="226" spans="1:17" ht="28" customHeight="1" x14ac:dyDescent="0.35">
      <c r="A226" s="252"/>
      <c r="B226" s="215"/>
      <c r="C226" s="60">
        <v>0</v>
      </c>
      <c r="D226" s="60">
        <v>0</v>
      </c>
      <c r="E226" s="60">
        <v>0</v>
      </c>
      <c r="F226" s="61" t="s">
        <v>150</v>
      </c>
      <c r="G226" s="60">
        <f t="shared" si="104"/>
        <v>1000000</v>
      </c>
      <c r="H226" s="60">
        <f t="shared" si="105"/>
        <v>0</v>
      </c>
      <c r="I226" s="60">
        <f t="shared" si="105"/>
        <v>0</v>
      </c>
      <c r="J226" s="60">
        <f>J227</f>
        <v>0</v>
      </c>
      <c r="K226" s="60">
        <f t="shared" si="126"/>
        <v>0</v>
      </c>
      <c r="L226" s="60">
        <f t="shared" si="126"/>
        <v>0</v>
      </c>
      <c r="M226" s="60">
        <f t="shared" si="126"/>
        <v>1000000</v>
      </c>
      <c r="N226" s="60">
        <f t="shared" si="126"/>
        <v>0</v>
      </c>
      <c r="O226" s="60">
        <f t="shared" si="126"/>
        <v>0</v>
      </c>
      <c r="P226" s="60">
        <f t="shared" si="126"/>
        <v>0</v>
      </c>
      <c r="Q226" s="60">
        <f t="shared" si="126"/>
        <v>0</v>
      </c>
    </row>
    <row r="227" spans="1:17" ht="28" customHeight="1" x14ac:dyDescent="0.35">
      <c r="A227" s="252"/>
      <c r="B227" s="215"/>
      <c r="C227" s="104"/>
      <c r="D227" s="73"/>
      <c r="E227" s="19"/>
      <c r="F227" s="66" t="s">
        <v>151</v>
      </c>
      <c r="G227" s="67">
        <f t="shared" si="104"/>
        <v>1000000</v>
      </c>
      <c r="H227" s="67">
        <f t="shared" si="105"/>
        <v>0</v>
      </c>
      <c r="I227" s="67">
        <f t="shared" si="105"/>
        <v>0</v>
      </c>
      <c r="J227" s="68">
        <f>K227+L227</f>
        <v>0</v>
      </c>
      <c r="K227" s="67">
        <v>0</v>
      </c>
      <c r="L227" s="67">
        <v>0</v>
      </c>
      <c r="M227" s="68">
        <v>1000000</v>
      </c>
      <c r="N227" s="68">
        <f>O227+P227</f>
        <v>0</v>
      </c>
      <c r="O227" s="68">
        <v>0</v>
      </c>
      <c r="P227" s="68">
        <v>0</v>
      </c>
      <c r="Q227" s="68">
        <v>0</v>
      </c>
    </row>
    <row r="228" spans="1:17" ht="52" x14ac:dyDescent="0.35">
      <c r="A228" s="87" t="s">
        <v>215</v>
      </c>
      <c r="B228" s="88" t="s">
        <v>216</v>
      </c>
      <c r="C228" s="52">
        <f>C229+C236+C243+C251+C254</f>
        <v>49830260</v>
      </c>
      <c r="D228" s="52">
        <f>D229+D236+D243+D251+D254</f>
        <v>11600000</v>
      </c>
      <c r="E228" s="53">
        <f>E229+E236+E243+E251+E254</f>
        <v>40000000</v>
      </c>
      <c r="F228" s="54" t="s">
        <v>217</v>
      </c>
      <c r="G228" s="52">
        <f t="shared" si="104"/>
        <v>246942260</v>
      </c>
      <c r="H228" s="52">
        <f t="shared" ref="H228:I256" si="127">K228+O228</f>
        <v>218023644</v>
      </c>
      <c r="I228" s="52">
        <f t="shared" si="127"/>
        <v>28918616</v>
      </c>
      <c r="J228" s="52">
        <f>J229+J236+J243+J251+J254</f>
        <v>246942260</v>
      </c>
      <c r="K228" s="52">
        <f t="shared" ref="K228:Q228" si="128">K229+K236+K243+K251+K254</f>
        <v>218023644</v>
      </c>
      <c r="L228" s="52">
        <f t="shared" si="128"/>
        <v>28918616</v>
      </c>
      <c r="M228" s="52">
        <f t="shared" si="128"/>
        <v>0</v>
      </c>
      <c r="N228" s="52">
        <f t="shared" si="128"/>
        <v>0</v>
      </c>
      <c r="O228" s="52">
        <f t="shared" si="128"/>
        <v>0</v>
      </c>
      <c r="P228" s="52">
        <f t="shared" si="128"/>
        <v>0</v>
      </c>
      <c r="Q228" s="52">
        <f t="shared" si="128"/>
        <v>0</v>
      </c>
    </row>
    <row r="229" spans="1:17" ht="28" customHeight="1" x14ac:dyDescent="0.35">
      <c r="A229" s="252" t="s">
        <v>218</v>
      </c>
      <c r="B229" s="251" t="s">
        <v>219</v>
      </c>
      <c r="C229" s="57">
        <f>C230+C234</f>
        <v>2898974</v>
      </c>
      <c r="D229" s="57">
        <f>D230+D234</f>
        <v>0</v>
      </c>
      <c r="E229" s="57">
        <f>E230+E234</f>
        <v>0</v>
      </c>
      <c r="F229" s="59" t="s">
        <v>220</v>
      </c>
      <c r="G229" s="58">
        <f t="shared" si="104"/>
        <v>6502974</v>
      </c>
      <c r="H229" s="58">
        <f t="shared" si="127"/>
        <v>4723306</v>
      </c>
      <c r="I229" s="58">
        <f t="shared" si="127"/>
        <v>1779668</v>
      </c>
      <c r="J229" s="58">
        <f>J230+J234</f>
        <v>6502974</v>
      </c>
      <c r="K229" s="58">
        <f t="shared" ref="K229:Q229" si="129">K230+K234</f>
        <v>4723306</v>
      </c>
      <c r="L229" s="58">
        <f t="shared" si="129"/>
        <v>1779668</v>
      </c>
      <c r="M229" s="58">
        <f t="shared" si="129"/>
        <v>0</v>
      </c>
      <c r="N229" s="58">
        <f t="shared" si="129"/>
        <v>0</v>
      </c>
      <c r="O229" s="58">
        <f t="shared" si="129"/>
        <v>0</v>
      </c>
      <c r="P229" s="58">
        <f t="shared" si="129"/>
        <v>0</v>
      </c>
      <c r="Q229" s="58">
        <f t="shared" si="129"/>
        <v>0</v>
      </c>
    </row>
    <row r="230" spans="1:17" ht="28" customHeight="1" x14ac:dyDescent="0.35">
      <c r="A230" s="252"/>
      <c r="B230" s="251"/>
      <c r="C230" s="69">
        <f>G232+G233</f>
        <v>2898974</v>
      </c>
      <c r="D230" s="60">
        <v>0</v>
      </c>
      <c r="E230" s="60">
        <v>0</v>
      </c>
      <c r="F230" s="61" t="s">
        <v>150</v>
      </c>
      <c r="G230" s="60">
        <f t="shared" si="104"/>
        <v>6502974</v>
      </c>
      <c r="H230" s="60">
        <f t="shared" si="127"/>
        <v>4723306</v>
      </c>
      <c r="I230" s="60">
        <f t="shared" si="127"/>
        <v>1779668</v>
      </c>
      <c r="J230" s="60">
        <f>J231+J232+J233</f>
        <v>6502974</v>
      </c>
      <c r="K230" s="60">
        <f t="shared" ref="K230:Q230" si="130">K231+K232+K233</f>
        <v>4723306</v>
      </c>
      <c r="L230" s="60">
        <f t="shared" si="130"/>
        <v>1779668</v>
      </c>
      <c r="M230" s="60">
        <f t="shared" si="130"/>
        <v>0</v>
      </c>
      <c r="N230" s="60">
        <f t="shared" si="130"/>
        <v>0</v>
      </c>
      <c r="O230" s="60">
        <f t="shared" si="130"/>
        <v>0</v>
      </c>
      <c r="P230" s="60">
        <f t="shared" si="130"/>
        <v>0</v>
      </c>
      <c r="Q230" s="60">
        <f t="shared" si="130"/>
        <v>0</v>
      </c>
    </row>
    <row r="231" spans="1:17" ht="28" customHeight="1" x14ac:dyDescent="0.35">
      <c r="A231" s="252"/>
      <c r="B231" s="251"/>
      <c r="C231" s="78"/>
      <c r="D231" s="78"/>
      <c r="E231" s="19"/>
      <c r="F231" s="66" t="s">
        <v>151</v>
      </c>
      <c r="G231" s="67">
        <f t="shared" si="104"/>
        <v>3604000</v>
      </c>
      <c r="H231" s="67">
        <f t="shared" si="127"/>
        <v>1824332</v>
      </c>
      <c r="I231" s="67">
        <f t="shared" si="127"/>
        <v>1779668</v>
      </c>
      <c r="J231" s="67">
        <f>K231+L231</f>
        <v>3604000</v>
      </c>
      <c r="K231" s="67">
        <f>3120332-1296000</f>
        <v>1824332</v>
      </c>
      <c r="L231" s="67">
        <f>1679668+100000</f>
        <v>1779668</v>
      </c>
      <c r="M231" s="67">
        <v>0</v>
      </c>
      <c r="N231" s="67">
        <f>O231+P231</f>
        <v>0</v>
      </c>
      <c r="O231" s="67">
        <v>0</v>
      </c>
      <c r="P231" s="67">
        <v>0</v>
      </c>
      <c r="Q231" s="67">
        <v>0</v>
      </c>
    </row>
    <row r="232" spans="1:17" ht="28" customHeight="1" x14ac:dyDescent="0.35">
      <c r="A232" s="252"/>
      <c r="B232" s="251"/>
      <c r="C232" s="78"/>
      <c r="D232" s="78"/>
      <c r="E232" s="19"/>
      <c r="F232" s="66" t="s">
        <v>152</v>
      </c>
      <c r="G232" s="71">
        <f t="shared" si="104"/>
        <v>2247422</v>
      </c>
      <c r="H232" s="71">
        <f t="shared" si="127"/>
        <v>2247422</v>
      </c>
      <c r="I232" s="71">
        <f t="shared" si="127"/>
        <v>0</v>
      </c>
      <c r="J232" s="71">
        <f>K232+L232</f>
        <v>2247422</v>
      </c>
      <c r="K232" s="71">
        <f>2516973-246441-600993-257549+835432</f>
        <v>2247422</v>
      </c>
      <c r="L232" s="71">
        <f>153985-153985</f>
        <v>0</v>
      </c>
      <c r="M232" s="71">
        <v>0</v>
      </c>
      <c r="N232" s="71">
        <f>O232+P232</f>
        <v>0</v>
      </c>
      <c r="O232" s="71">
        <v>0</v>
      </c>
      <c r="P232" s="71">
        <v>0</v>
      </c>
      <c r="Q232" s="71">
        <v>0</v>
      </c>
    </row>
    <row r="233" spans="1:17" ht="28" customHeight="1" x14ac:dyDescent="0.35">
      <c r="A233" s="252"/>
      <c r="B233" s="251"/>
      <c r="C233" s="78"/>
      <c r="D233" s="78"/>
      <c r="E233" s="19"/>
      <c r="F233" s="66" t="s">
        <v>153</v>
      </c>
      <c r="G233" s="71">
        <f t="shared" si="104"/>
        <v>651552</v>
      </c>
      <c r="H233" s="71">
        <f t="shared" si="127"/>
        <v>651552</v>
      </c>
      <c r="I233" s="71">
        <f t="shared" si="127"/>
        <v>0</v>
      </c>
      <c r="J233" s="71">
        <f>K233+L233</f>
        <v>651552</v>
      </c>
      <c r="K233" s="71">
        <f>1975057-52208-179059-50000-67542-60504-43182-741807-154703+25500</f>
        <v>651552</v>
      </c>
      <c r="L233" s="71">
        <f>153985-153985</f>
        <v>0</v>
      </c>
      <c r="M233" s="71">
        <v>0</v>
      </c>
      <c r="N233" s="71">
        <f>O233+P233</f>
        <v>0</v>
      </c>
      <c r="O233" s="71">
        <v>0</v>
      </c>
      <c r="P233" s="71">
        <v>0</v>
      </c>
      <c r="Q233" s="71">
        <v>0</v>
      </c>
    </row>
    <row r="234" spans="1:17" ht="28" customHeight="1" x14ac:dyDescent="0.35">
      <c r="A234" s="252"/>
      <c r="B234" s="251"/>
      <c r="C234" s="60">
        <v>0</v>
      </c>
      <c r="D234" s="102">
        <f>G235</f>
        <v>0</v>
      </c>
      <c r="E234" s="60">
        <v>0</v>
      </c>
      <c r="F234" s="61" t="s">
        <v>186</v>
      </c>
      <c r="G234" s="60">
        <f t="shared" si="104"/>
        <v>0</v>
      </c>
      <c r="H234" s="60">
        <f t="shared" si="127"/>
        <v>0</v>
      </c>
      <c r="I234" s="60">
        <f t="shared" si="127"/>
        <v>0</v>
      </c>
      <c r="J234" s="60">
        <f>J235</f>
        <v>0</v>
      </c>
      <c r="K234" s="60">
        <f t="shared" ref="K234:Q234" si="131">K235</f>
        <v>0</v>
      </c>
      <c r="L234" s="60">
        <f t="shared" si="131"/>
        <v>0</v>
      </c>
      <c r="M234" s="60">
        <f t="shared" si="131"/>
        <v>0</v>
      </c>
      <c r="N234" s="60">
        <f t="shared" si="131"/>
        <v>0</v>
      </c>
      <c r="O234" s="60">
        <f t="shared" si="131"/>
        <v>0</v>
      </c>
      <c r="P234" s="60">
        <f t="shared" si="131"/>
        <v>0</v>
      </c>
      <c r="Q234" s="60">
        <f t="shared" si="131"/>
        <v>0</v>
      </c>
    </row>
    <row r="235" spans="1:17" ht="28" customHeight="1" x14ac:dyDescent="0.35">
      <c r="A235" s="252"/>
      <c r="B235" s="251"/>
      <c r="C235" s="78"/>
      <c r="D235" s="78"/>
      <c r="E235" s="19"/>
      <c r="F235" s="66" t="s">
        <v>187</v>
      </c>
      <c r="G235" s="103">
        <f t="shared" si="104"/>
        <v>0</v>
      </c>
      <c r="H235" s="103">
        <f t="shared" si="127"/>
        <v>0</v>
      </c>
      <c r="I235" s="103">
        <f t="shared" si="127"/>
        <v>0</v>
      </c>
      <c r="J235" s="103">
        <f>K235+L235</f>
        <v>0</v>
      </c>
      <c r="K235" s="103">
        <v>0</v>
      </c>
      <c r="L235" s="103">
        <v>0</v>
      </c>
      <c r="M235" s="103">
        <v>0</v>
      </c>
      <c r="N235" s="103">
        <f>O235+P235</f>
        <v>0</v>
      </c>
      <c r="O235" s="103">
        <v>0</v>
      </c>
      <c r="P235" s="103">
        <v>0</v>
      </c>
      <c r="Q235" s="103">
        <v>0</v>
      </c>
    </row>
    <row r="236" spans="1:17" ht="28" customHeight="1" x14ac:dyDescent="0.35">
      <c r="A236" s="252" t="s">
        <v>221</v>
      </c>
      <c r="B236" s="251" t="s">
        <v>222</v>
      </c>
      <c r="C236" s="57">
        <f>C237+C241</f>
        <v>31641811</v>
      </c>
      <c r="D236" s="57">
        <f>D237+D241</f>
        <v>11600000</v>
      </c>
      <c r="E236" s="57">
        <f>E237+E241</f>
        <v>0</v>
      </c>
      <c r="F236" s="59" t="s">
        <v>223</v>
      </c>
      <c r="G236" s="58">
        <f t="shared" si="104"/>
        <v>109596811</v>
      </c>
      <c r="H236" s="58">
        <f t="shared" si="127"/>
        <v>99570707</v>
      </c>
      <c r="I236" s="58">
        <f t="shared" si="127"/>
        <v>10026104</v>
      </c>
      <c r="J236" s="58">
        <f>J237+J241</f>
        <v>109596811</v>
      </c>
      <c r="K236" s="58">
        <f t="shared" ref="K236:Q236" si="132">K237+K241</f>
        <v>99570707</v>
      </c>
      <c r="L236" s="58">
        <f t="shared" si="132"/>
        <v>10026104</v>
      </c>
      <c r="M236" s="58">
        <f t="shared" si="132"/>
        <v>0</v>
      </c>
      <c r="N236" s="58">
        <f t="shared" si="132"/>
        <v>0</v>
      </c>
      <c r="O236" s="58">
        <f t="shared" si="132"/>
        <v>0</v>
      </c>
      <c r="P236" s="58">
        <f t="shared" si="132"/>
        <v>0</v>
      </c>
      <c r="Q236" s="58">
        <f t="shared" si="132"/>
        <v>0</v>
      </c>
    </row>
    <row r="237" spans="1:17" ht="28" customHeight="1" x14ac:dyDescent="0.35">
      <c r="A237" s="252"/>
      <c r="B237" s="251"/>
      <c r="C237" s="69">
        <f>G239+G240</f>
        <v>31641811</v>
      </c>
      <c r="D237" s="60">
        <v>0</v>
      </c>
      <c r="E237" s="60">
        <v>0</v>
      </c>
      <c r="F237" s="61" t="s">
        <v>150</v>
      </c>
      <c r="G237" s="60">
        <f t="shared" si="104"/>
        <v>97996811</v>
      </c>
      <c r="H237" s="60">
        <f t="shared" si="127"/>
        <v>87970707</v>
      </c>
      <c r="I237" s="60">
        <f t="shared" si="127"/>
        <v>10026104</v>
      </c>
      <c r="J237" s="60">
        <f>J238+J239+J240</f>
        <v>97996811</v>
      </c>
      <c r="K237" s="60">
        <f t="shared" ref="K237:Q237" si="133">K238+K239+K240</f>
        <v>87970707</v>
      </c>
      <c r="L237" s="60">
        <f t="shared" si="133"/>
        <v>10026104</v>
      </c>
      <c r="M237" s="60">
        <f t="shared" si="133"/>
        <v>0</v>
      </c>
      <c r="N237" s="60">
        <f t="shared" si="133"/>
        <v>0</v>
      </c>
      <c r="O237" s="60">
        <f t="shared" si="133"/>
        <v>0</v>
      </c>
      <c r="P237" s="60">
        <f t="shared" si="133"/>
        <v>0</v>
      </c>
      <c r="Q237" s="60">
        <f t="shared" si="133"/>
        <v>0</v>
      </c>
    </row>
    <row r="238" spans="1:17" ht="28" customHeight="1" x14ac:dyDescent="0.35">
      <c r="A238" s="252"/>
      <c r="B238" s="251"/>
      <c r="C238" s="78"/>
      <c r="D238" s="78"/>
      <c r="E238" s="19"/>
      <c r="F238" s="66" t="s">
        <v>151</v>
      </c>
      <c r="G238" s="67">
        <f t="shared" si="104"/>
        <v>66355000</v>
      </c>
      <c r="H238" s="67">
        <f t="shared" si="127"/>
        <v>57130423</v>
      </c>
      <c r="I238" s="67">
        <f t="shared" si="127"/>
        <v>9224577</v>
      </c>
      <c r="J238" s="67">
        <f>K238+L238</f>
        <v>66355000</v>
      </c>
      <c r="K238" s="67">
        <v>57130423</v>
      </c>
      <c r="L238" s="67">
        <v>9224577</v>
      </c>
      <c r="M238" s="67">
        <v>0</v>
      </c>
      <c r="N238" s="67">
        <f>O238+P238</f>
        <v>0</v>
      </c>
      <c r="O238" s="67">
        <v>0</v>
      </c>
      <c r="P238" s="67">
        <v>0</v>
      </c>
      <c r="Q238" s="67">
        <v>0</v>
      </c>
    </row>
    <row r="239" spans="1:17" ht="28" customHeight="1" x14ac:dyDescent="0.35">
      <c r="A239" s="252"/>
      <c r="B239" s="251"/>
      <c r="C239" s="78"/>
      <c r="D239" s="78"/>
      <c r="E239" s="19"/>
      <c r="F239" s="66" t="s">
        <v>152</v>
      </c>
      <c r="G239" s="71">
        <f t="shared" si="104"/>
        <v>20075231</v>
      </c>
      <c r="H239" s="71">
        <f t="shared" si="127"/>
        <v>20075231</v>
      </c>
      <c r="I239" s="71">
        <f t="shared" si="127"/>
        <v>0</v>
      </c>
      <c r="J239" s="71">
        <f>K239+L239</f>
        <v>20075231</v>
      </c>
      <c r="K239" s="71">
        <f>13469618+543639+1087472+600993+3500000-214282+1087791</f>
        <v>20075231</v>
      </c>
      <c r="L239" s="71">
        <f>2407909-2407909</f>
        <v>0</v>
      </c>
      <c r="M239" s="71">
        <v>0</v>
      </c>
      <c r="N239" s="71">
        <f>O239+P239</f>
        <v>0</v>
      </c>
      <c r="O239" s="71">
        <v>0</v>
      </c>
      <c r="P239" s="71">
        <v>0</v>
      </c>
      <c r="Q239" s="71">
        <v>0</v>
      </c>
    </row>
    <row r="240" spans="1:17" ht="28" customHeight="1" x14ac:dyDescent="0.35">
      <c r="A240" s="252"/>
      <c r="B240" s="251"/>
      <c r="C240" s="78"/>
      <c r="D240" s="78"/>
      <c r="E240" s="19"/>
      <c r="F240" s="66" t="s">
        <v>153</v>
      </c>
      <c r="G240" s="71">
        <f t="shared" si="104"/>
        <v>11566580</v>
      </c>
      <c r="H240" s="71">
        <f t="shared" si="127"/>
        <v>10765053</v>
      </c>
      <c r="I240" s="71">
        <f t="shared" si="127"/>
        <v>801527</v>
      </c>
      <c r="J240" s="71">
        <f>K240+L240</f>
        <v>11566580</v>
      </c>
      <c r="K240" s="71">
        <f>17609959+52208+50000+918298+158685+60504+377079-5587013-1600000-1546955+272288</f>
        <v>10765053</v>
      </c>
      <c r="L240" s="71">
        <f>6867514-4258414-1807573</f>
        <v>801527</v>
      </c>
      <c r="M240" s="71">
        <v>0</v>
      </c>
      <c r="N240" s="71">
        <f>O240+P240</f>
        <v>0</v>
      </c>
      <c r="O240" s="71">
        <v>0</v>
      </c>
      <c r="P240" s="71">
        <v>0</v>
      </c>
      <c r="Q240" s="71">
        <v>0</v>
      </c>
    </row>
    <row r="241" spans="1:17" ht="28" customHeight="1" x14ac:dyDescent="0.35">
      <c r="A241" s="252"/>
      <c r="B241" s="251"/>
      <c r="C241" s="60">
        <v>0</v>
      </c>
      <c r="D241" s="102">
        <f>G242</f>
        <v>11600000</v>
      </c>
      <c r="E241" s="60">
        <v>0</v>
      </c>
      <c r="F241" s="61" t="s">
        <v>186</v>
      </c>
      <c r="G241" s="60">
        <f t="shared" si="104"/>
        <v>11600000</v>
      </c>
      <c r="H241" s="60">
        <f t="shared" si="127"/>
        <v>11600000</v>
      </c>
      <c r="I241" s="60">
        <f t="shared" si="127"/>
        <v>0</v>
      </c>
      <c r="J241" s="60">
        <f>J242</f>
        <v>11600000</v>
      </c>
      <c r="K241" s="60">
        <f t="shared" ref="K241:Q241" si="134">K242</f>
        <v>11600000</v>
      </c>
      <c r="L241" s="60">
        <f t="shared" si="134"/>
        <v>0</v>
      </c>
      <c r="M241" s="60">
        <f t="shared" si="134"/>
        <v>0</v>
      </c>
      <c r="N241" s="60">
        <f t="shared" si="134"/>
        <v>0</v>
      </c>
      <c r="O241" s="60">
        <f t="shared" si="134"/>
        <v>0</v>
      </c>
      <c r="P241" s="60">
        <f t="shared" si="134"/>
        <v>0</v>
      </c>
      <c r="Q241" s="60">
        <f t="shared" si="134"/>
        <v>0</v>
      </c>
    </row>
    <row r="242" spans="1:17" ht="28" customHeight="1" x14ac:dyDescent="0.35">
      <c r="A242" s="252"/>
      <c r="B242" s="251"/>
      <c r="C242" s="78"/>
      <c r="D242" s="78"/>
      <c r="E242" s="19"/>
      <c r="F242" s="66" t="s">
        <v>187</v>
      </c>
      <c r="G242" s="103">
        <f t="shared" ref="G242:G291" si="135">J242+M242+N242+Q242</f>
        <v>11600000</v>
      </c>
      <c r="H242" s="103">
        <f t="shared" si="127"/>
        <v>11600000</v>
      </c>
      <c r="I242" s="103">
        <f t="shared" si="127"/>
        <v>0</v>
      </c>
      <c r="J242" s="103">
        <f>K242+L242</f>
        <v>11600000</v>
      </c>
      <c r="K242" s="103">
        <f>18000000-6000000-400000</f>
        <v>11600000</v>
      </c>
      <c r="L242" s="103">
        <v>0</v>
      </c>
      <c r="M242" s="103">
        <v>0</v>
      </c>
      <c r="N242" s="103">
        <f>O242+P242</f>
        <v>0</v>
      </c>
      <c r="O242" s="103">
        <v>0</v>
      </c>
      <c r="P242" s="103">
        <v>0</v>
      </c>
      <c r="Q242" s="103">
        <v>0</v>
      </c>
    </row>
    <row r="243" spans="1:17" ht="28" customHeight="1" x14ac:dyDescent="0.35">
      <c r="A243" s="252" t="s">
        <v>224</v>
      </c>
      <c r="B243" s="251" t="s">
        <v>225</v>
      </c>
      <c r="C243" s="57">
        <f>C244+C249</f>
        <v>15289475</v>
      </c>
      <c r="D243" s="57">
        <f>D244+D249</f>
        <v>0</v>
      </c>
      <c r="E243" s="57">
        <f>E244+E249</f>
        <v>40000000</v>
      </c>
      <c r="F243" s="59" t="s">
        <v>226</v>
      </c>
      <c r="G243" s="58">
        <f t="shared" si="135"/>
        <v>130042475</v>
      </c>
      <c r="H243" s="58">
        <f t="shared" si="127"/>
        <v>112929631</v>
      </c>
      <c r="I243" s="58">
        <f t="shared" si="127"/>
        <v>17112844</v>
      </c>
      <c r="J243" s="58">
        <f>J244+J249</f>
        <v>130042475</v>
      </c>
      <c r="K243" s="58">
        <f t="shared" ref="K243:Q243" si="136">K244+K249</f>
        <v>112929631</v>
      </c>
      <c r="L243" s="58">
        <f t="shared" si="136"/>
        <v>17112844</v>
      </c>
      <c r="M243" s="58">
        <f t="shared" si="136"/>
        <v>0</v>
      </c>
      <c r="N243" s="58">
        <f t="shared" si="136"/>
        <v>0</v>
      </c>
      <c r="O243" s="58">
        <f t="shared" si="136"/>
        <v>0</v>
      </c>
      <c r="P243" s="58">
        <f t="shared" si="136"/>
        <v>0</v>
      </c>
      <c r="Q243" s="58">
        <f t="shared" si="136"/>
        <v>0</v>
      </c>
    </row>
    <row r="244" spans="1:17" ht="28" customHeight="1" x14ac:dyDescent="0.35">
      <c r="A244" s="252"/>
      <c r="B244" s="251"/>
      <c r="C244" s="69">
        <f>G246+G247</f>
        <v>15289475</v>
      </c>
      <c r="D244" s="60">
        <v>0</v>
      </c>
      <c r="E244" s="72">
        <f>G248</f>
        <v>40000000</v>
      </c>
      <c r="F244" s="61" t="s">
        <v>150</v>
      </c>
      <c r="G244" s="60">
        <f t="shared" si="135"/>
        <v>130042475</v>
      </c>
      <c r="H244" s="60">
        <f t="shared" si="127"/>
        <v>112929631</v>
      </c>
      <c r="I244" s="60">
        <f t="shared" si="127"/>
        <v>17112844</v>
      </c>
      <c r="J244" s="60">
        <f>J245+J246+J247+J248</f>
        <v>130042475</v>
      </c>
      <c r="K244" s="60">
        <f t="shared" ref="K244:Q244" si="137">K245+K246+K247+K248</f>
        <v>112929631</v>
      </c>
      <c r="L244" s="60">
        <f t="shared" si="137"/>
        <v>17112844</v>
      </c>
      <c r="M244" s="60">
        <f t="shared" si="137"/>
        <v>0</v>
      </c>
      <c r="N244" s="60">
        <f t="shared" si="137"/>
        <v>0</v>
      </c>
      <c r="O244" s="60">
        <f t="shared" si="137"/>
        <v>0</v>
      </c>
      <c r="P244" s="60">
        <f t="shared" si="137"/>
        <v>0</v>
      </c>
      <c r="Q244" s="60">
        <f t="shared" si="137"/>
        <v>0</v>
      </c>
    </row>
    <row r="245" spans="1:17" ht="28" customHeight="1" x14ac:dyDescent="0.35">
      <c r="A245" s="252"/>
      <c r="B245" s="251"/>
      <c r="C245" s="78"/>
      <c r="D245" s="78"/>
      <c r="E245" s="19"/>
      <c r="F245" s="66" t="s">
        <v>151</v>
      </c>
      <c r="G245" s="67">
        <f t="shared" si="135"/>
        <v>74753000</v>
      </c>
      <c r="H245" s="67">
        <f t="shared" si="127"/>
        <v>67953555</v>
      </c>
      <c r="I245" s="67">
        <f t="shared" si="127"/>
        <v>6799445</v>
      </c>
      <c r="J245" s="67">
        <f>K245+L245</f>
        <v>74753000</v>
      </c>
      <c r="K245" s="67">
        <f>74157555-6204000</f>
        <v>67953555</v>
      </c>
      <c r="L245" s="67">
        <v>6799445</v>
      </c>
      <c r="M245" s="67">
        <v>0</v>
      </c>
      <c r="N245" s="67">
        <f>O245+P245</f>
        <v>0</v>
      </c>
      <c r="O245" s="67">
        <v>0</v>
      </c>
      <c r="P245" s="67">
        <v>0</v>
      </c>
      <c r="Q245" s="67">
        <v>0</v>
      </c>
    </row>
    <row r="246" spans="1:17" ht="28" customHeight="1" x14ac:dyDescent="0.35">
      <c r="A246" s="252"/>
      <c r="B246" s="251"/>
      <c r="C246" s="78"/>
      <c r="D246" s="78"/>
      <c r="E246" s="19"/>
      <c r="F246" s="66" t="s">
        <v>152</v>
      </c>
      <c r="G246" s="71">
        <f t="shared" si="135"/>
        <v>6959085</v>
      </c>
      <c r="H246" s="71">
        <f t="shared" si="127"/>
        <v>6959085</v>
      </c>
      <c r="I246" s="71">
        <f t="shared" si="127"/>
        <v>0</v>
      </c>
      <c r="J246" s="71">
        <f>K246+L246</f>
        <v>6959085</v>
      </c>
      <c r="K246" s="71">
        <f>13796733+1087472+246441+318800+1066227-3500000-1761051-4295537</f>
        <v>6959085</v>
      </c>
      <c r="L246" s="71">
        <f>3547297-3547297</f>
        <v>0</v>
      </c>
      <c r="M246" s="71">
        <v>0</v>
      </c>
      <c r="N246" s="71">
        <f>O246+P246</f>
        <v>0</v>
      </c>
      <c r="O246" s="71">
        <v>0</v>
      </c>
      <c r="P246" s="71">
        <v>0</v>
      </c>
      <c r="Q246" s="71">
        <v>0</v>
      </c>
    </row>
    <row r="247" spans="1:17" ht="28" customHeight="1" x14ac:dyDescent="0.35">
      <c r="A247" s="252"/>
      <c r="B247" s="251"/>
      <c r="C247" s="78"/>
      <c r="D247" s="78"/>
      <c r="E247" s="19"/>
      <c r="F247" s="66" t="s">
        <v>153</v>
      </c>
      <c r="G247" s="71">
        <f t="shared" si="135"/>
        <v>8330390</v>
      </c>
      <c r="H247" s="71">
        <f t="shared" si="127"/>
        <v>3290390</v>
      </c>
      <c r="I247" s="71">
        <f t="shared" si="127"/>
        <v>5040000</v>
      </c>
      <c r="J247" s="71">
        <f>K247+L247</f>
        <v>8330390</v>
      </c>
      <c r="K247" s="71">
        <f>12309111-918298-377079-269118+179059+67542-5190056-1906724-954047+350000</f>
        <v>3290390</v>
      </c>
      <c r="L247" s="71">
        <f>5789859-749859</f>
        <v>5040000</v>
      </c>
      <c r="M247" s="71">
        <v>0</v>
      </c>
      <c r="N247" s="71">
        <f>O247+P247</f>
        <v>0</v>
      </c>
      <c r="O247" s="71">
        <v>0</v>
      </c>
      <c r="P247" s="71">
        <v>0</v>
      </c>
      <c r="Q247" s="71">
        <v>0</v>
      </c>
    </row>
    <row r="248" spans="1:17" ht="28" customHeight="1" x14ac:dyDescent="0.35">
      <c r="A248" s="252"/>
      <c r="B248" s="251"/>
      <c r="C248" s="78"/>
      <c r="D248" s="78"/>
      <c r="E248" s="19"/>
      <c r="F248" s="66" t="s">
        <v>227</v>
      </c>
      <c r="G248" s="74">
        <f t="shared" si="135"/>
        <v>40000000</v>
      </c>
      <c r="H248" s="74">
        <f t="shared" si="127"/>
        <v>34726601</v>
      </c>
      <c r="I248" s="74">
        <f t="shared" si="127"/>
        <v>5273399</v>
      </c>
      <c r="J248" s="74">
        <f>K248+L248</f>
        <v>40000000</v>
      </c>
      <c r="K248" s="74">
        <v>34726601</v>
      </c>
      <c r="L248" s="74">
        <v>5273399</v>
      </c>
      <c r="M248" s="74">
        <v>0</v>
      </c>
      <c r="N248" s="74">
        <f>O248+P248</f>
        <v>0</v>
      </c>
      <c r="O248" s="74">
        <v>0</v>
      </c>
      <c r="P248" s="74">
        <v>0</v>
      </c>
      <c r="Q248" s="74">
        <v>0</v>
      </c>
    </row>
    <row r="249" spans="1:17" ht="28" customHeight="1" x14ac:dyDescent="0.35">
      <c r="A249" s="252"/>
      <c r="B249" s="251"/>
      <c r="C249" s="60">
        <v>0</v>
      </c>
      <c r="D249" s="102">
        <f>G250</f>
        <v>0</v>
      </c>
      <c r="E249" s="60">
        <v>0</v>
      </c>
      <c r="F249" s="61" t="s">
        <v>186</v>
      </c>
      <c r="G249" s="60">
        <f t="shared" si="135"/>
        <v>0</v>
      </c>
      <c r="H249" s="60">
        <f t="shared" si="127"/>
        <v>0</v>
      </c>
      <c r="I249" s="60">
        <f t="shared" si="127"/>
        <v>0</v>
      </c>
      <c r="J249" s="60">
        <f>J250</f>
        <v>0</v>
      </c>
      <c r="K249" s="60">
        <f t="shared" ref="K249:Q249" si="138">K250</f>
        <v>0</v>
      </c>
      <c r="L249" s="60">
        <f t="shared" si="138"/>
        <v>0</v>
      </c>
      <c r="M249" s="60">
        <f t="shared" si="138"/>
        <v>0</v>
      </c>
      <c r="N249" s="60">
        <f t="shared" si="138"/>
        <v>0</v>
      </c>
      <c r="O249" s="60">
        <f t="shared" si="138"/>
        <v>0</v>
      </c>
      <c r="P249" s="60">
        <f t="shared" si="138"/>
        <v>0</v>
      </c>
      <c r="Q249" s="60">
        <f t="shared" si="138"/>
        <v>0</v>
      </c>
    </row>
    <row r="250" spans="1:17" ht="28" customHeight="1" x14ac:dyDescent="0.35">
      <c r="A250" s="252"/>
      <c r="B250" s="251"/>
      <c r="C250" s="78"/>
      <c r="D250" s="78"/>
      <c r="E250" s="19"/>
      <c r="F250" s="66" t="s">
        <v>187</v>
      </c>
      <c r="G250" s="103">
        <f t="shared" si="135"/>
        <v>0</v>
      </c>
      <c r="H250" s="103">
        <f t="shared" si="127"/>
        <v>0</v>
      </c>
      <c r="I250" s="103">
        <f t="shared" si="127"/>
        <v>0</v>
      </c>
      <c r="J250" s="103">
        <f>K250+L250</f>
        <v>0</v>
      </c>
      <c r="K250" s="103">
        <v>0</v>
      </c>
      <c r="L250" s="103">
        <v>0</v>
      </c>
      <c r="M250" s="103">
        <v>0</v>
      </c>
      <c r="N250" s="103">
        <f>O250+P250</f>
        <v>0</v>
      </c>
      <c r="O250" s="103">
        <v>0</v>
      </c>
      <c r="P250" s="103">
        <v>0</v>
      </c>
      <c r="Q250" s="103">
        <v>0</v>
      </c>
    </row>
    <row r="251" spans="1:17" ht="59.5" customHeight="1" x14ac:dyDescent="0.35">
      <c r="A251" s="252" t="s">
        <v>228</v>
      </c>
      <c r="B251" s="251" t="s">
        <v>229</v>
      </c>
      <c r="C251" s="56">
        <f>C252</f>
        <v>0</v>
      </c>
      <c r="D251" s="57">
        <f>D252</f>
        <v>0</v>
      </c>
      <c r="E251" s="58">
        <f>E252</f>
        <v>0</v>
      </c>
      <c r="F251" s="59" t="s">
        <v>230</v>
      </c>
      <c r="G251" s="58">
        <f t="shared" si="135"/>
        <v>0</v>
      </c>
      <c r="H251" s="58">
        <f t="shared" si="127"/>
        <v>0</v>
      </c>
      <c r="I251" s="58">
        <f t="shared" si="127"/>
        <v>0</v>
      </c>
      <c r="J251" s="58">
        <f>J252</f>
        <v>0</v>
      </c>
      <c r="K251" s="58">
        <f t="shared" ref="K251:Q252" si="139">K252</f>
        <v>0</v>
      </c>
      <c r="L251" s="58">
        <f t="shared" si="139"/>
        <v>0</v>
      </c>
      <c r="M251" s="58">
        <f t="shared" si="139"/>
        <v>0</v>
      </c>
      <c r="N251" s="58">
        <f t="shared" si="139"/>
        <v>0</v>
      </c>
      <c r="O251" s="58">
        <f t="shared" si="139"/>
        <v>0</v>
      </c>
      <c r="P251" s="58">
        <f t="shared" si="139"/>
        <v>0</v>
      </c>
      <c r="Q251" s="58">
        <f t="shared" si="139"/>
        <v>0</v>
      </c>
    </row>
    <row r="252" spans="1:17" ht="28" customHeight="1" x14ac:dyDescent="0.35">
      <c r="A252" s="252"/>
      <c r="B252" s="251"/>
      <c r="C252" s="60">
        <v>0</v>
      </c>
      <c r="D252" s="60">
        <v>0</v>
      </c>
      <c r="E252" s="60">
        <v>0</v>
      </c>
      <c r="F252" s="61" t="s">
        <v>150</v>
      </c>
      <c r="G252" s="60">
        <f t="shared" si="135"/>
        <v>0</v>
      </c>
      <c r="H252" s="60">
        <f t="shared" si="127"/>
        <v>0</v>
      </c>
      <c r="I252" s="60">
        <f t="shared" si="127"/>
        <v>0</v>
      </c>
      <c r="J252" s="60">
        <f>J253</f>
        <v>0</v>
      </c>
      <c r="K252" s="60">
        <f t="shared" si="139"/>
        <v>0</v>
      </c>
      <c r="L252" s="60">
        <f t="shared" si="139"/>
        <v>0</v>
      </c>
      <c r="M252" s="60">
        <f t="shared" si="139"/>
        <v>0</v>
      </c>
      <c r="N252" s="60">
        <f t="shared" si="139"/>
        <v>0</v>
      </c>
      <c r="O252" s="60">
        <f t="shared" si="139"/>
        <v>0</v>
      </c>
      <c r="P252" s="60">
        <f t="shared" si="139"/>
        <v>0</v>
      </c>
      <c r="Q252" s="60">
        <f t="shared" si="139"/>
        <v>0</v>
      </c>
    </row>
    <row r="253" spans="1:17" ht="28" customHeight="1" x14ac:dyDescent="0.35">
      <c r="A253" s="252"/>
      <c r="B253" s="251"/>
      <c r="C253" s="73"/>
      <c r="D253" s="73"/>
      <c r="E253" s="73"/>
      <c r="F253" s="66" t="s">
        <v>151</v>
      </c>
      <c r="G253" s="67">
        <f t="shared" si="135"/>
        <v>0</v>
      </c>
      <c r="H253" s="67">
        <f t="shared" si="127"/>
        <v>0</v>
      </c>
      <c r="I253" s="67">
        <f t="shared" si="127"/>
        <v>0</v>
      </c>
      <c r="J253" s="67">
        <f>K253+L253</f>
        <v>0</v>
      </c>
      <c r="K253" s="67">
        <f>2100000-2100000</f>
        <v>0</v>
      </c>
      <c r="L253" s="67">
        <f>100000-100000</f>
        <v>0</v>
      </c>
      <c r="M253" s="67">
        <v>0</v>
      </c>
      <c r="N253" s="67">
        <f>O253+P253</f>
        <v>0</v>
      </c>
      <c r="O253" s="67">
        <v>0</v>
      </c>
      <c r="P253" s="67">
        <v>0</v>
      </c>
      <c r="Q253" s="67">
        <v>0</v>
      </c>
    </row>
    <row r="254" spans="1:17" ht="28" customHeight="1" x14ac:dyDescent="0.35">
      <c r="A254" s="252" t="s">
        <v>231</v>
      </c>
      <c r="B254" s="251" t="s">
        <v>232</v>
      </c>
      <c r="C254" s="56">
        <f>C255</f>
        <v>0</v>
      </c>
      <c r="D254" s="57">
        <f>D255</f>
        <v>0</v>
      </c>
      <c r="E254" s="58">
        <f>E255</f>
        <v>0</v>
      </c>
      <c r="F254" s="59" t="s">
        <v>233</v>
      </c>
      <c r="G254" s="58">
        <f t="shared" si="135"/>
        <v>800000</v>
      </c>
      <c r="H254" s="58">
        <f t="shared" si="127"/>
        <v>800000</v>
      </c>
      <c r="I254" s="58">
        <f t="shared" si="127"/>
        <v>0</v>
      </c>
      <c r="J254" s="58">
        <f>J255</f>
        <v>800000</v>
      </c>
      <c r="K254" s="58">
        <f t="shared" ref="K254:Q255" si="140">K255</f>
        <v>800000</v>
      </c>
      <c r="L254" s="58">
        <f t="shared" si="140"/>
        <v>0</v>
      </c>
      <c r="M254" s="58">
        <f t="shared" si="140"/>
        <v>0</v>
      </c>
      <c r="N254" s="58">
        <f t="shared" si="140"/>
        <v>0</v>
      </c>
      <c r="O254" s="58">
        <f t="shared" si="140"/>
        <v>0</v>
      </c>
      <c r="P254" s="58">
        <f t="shared" si="140"/>
        <v>0</v>
      </c>
      <c r="Q254" s="58">
        <f t="shared" si="140"/>
        <v>0</v>
      </c>
    </row>
    <row r="255" spans="1:17" ht="28" customHeight="1" x14ac:dyDescent="0.35">
      <c r="A255" s="252"/>
      <c r="B255" s="251"/>
      <c r="C255" s="60">
        <v>0</v>
      </c>
      <c r="D255" s="60">
        <v>0</v>
      </c>
      <c r="E255" s="60">
        <v>0</v>
      </c>
      <c r="F255" s="61" t="s">
        <v>150</v>
      </c>
      <c r="G255" s="60">
        <f t="shared" si="135"/>
        <v>800000</v>
      </c>
      <c r="H255" s="60">
        <f t="shared" si="127"/>
        <v>800000</v>
      </c>
      <c r="I255" s="60">
        <f t="shared" si="127"/>
        <v>0</v>
      </c>
      <c r="J255" s="60">
        <f>J256</f>
        <v>800000</v>
      </c>
      <c r="K255" s="60">
        <f t="shared" si="140"/>
        <v>800000</v>
      </c>
      <c r="L255" s="60">
        <f t="shared" si="140"/>
        <v>0</v>
      </c>
      <c r="M255" s="60">
        <f t="shared" si="140"/>
        <v>0</v>
      </c>
      <c r="N255" s="60">
        <f t="shared" si="140"/>
        <v>0</v>
      </c>
      <c r="O255" s="60">
        <f t="shared" si="140"/>
        <v>0</v>
      </c>
      <c r="P255" s="60">
        <f t="shared" si="140"/>
        <v>0</v>
      </c>
      <c r="Q255" s="60">
        <f t="shared" si="140"/>
        <v>0</v>
      </c>
    </row>
    <row r="256" spans="1:17" ht="28" customHeight="1" x14ac:dyDescent="0.35">
      <c r="A256" s="252"/>
      <c r="B256" s="251"/>
      <c r="C256" s="73"/>
      <c r="D256" s="73"/>
      <c r="E256" s="19"/>
      <c r="F256" s="66" t="s">
        <v>151</v>
      </c>
      <c r="G256" s="67">
        <f t="shared" si="135"/>
        <v>800000</v>
      </c>
      <c r="H256" s="67">
        <f t="shared" si="127"/>
        <v>800000</v>
      </c>
      <c r="I256" s="67">
        <f t="shared" si="127"/>
        <v>0</v>
      </c>
      <c r="J256" s="67">
        <f>K256+L256</f>
        <v>800000</v>
      </c>
      <c r="K256" s="67">
        <f>1000000-200000</f>
        <v>800000</v>
      </c>
      <c r="L256" s="67">
        <v>0</v>
      </c>
      <c r="M256" s="67">
        <v>0</v>
      </c>
      <c r="N256" s="67">
        <f>O256+P256</f>
        <v>0</v>
      </c>
      <c r="O256" s="67">
        <v>0</v>
      </c>
      <c r="P256" s="67">
        <v>0</v>
      </c>
      <c r="Q256" s="67">
        <v>0</v>
      </c>
    </row>
    <row r="257" spans="1:22" ht="78" x14ac:dyDescent="0.35">
      <c r="A257" s="87" t="s">
        <v>234</v>
      </c>
      <c r="B257" s="88" t="s">
        <v>235</v>
      </c>
      <c r="C257" s="52">
        <f>C258+C261+C264+C269+C274+C277+C280+C283+C286+C289</f>
        <v>125099167</v>
      </c>
      <c r="D257" s="52">
        <f>D258+D261+D264+D269+D274+D277+D280+D283+D286+D289</f>
        <v>0</v>
      </c>
      <c r="E257" s="53">
        <f>E258+E261+E264+E269+E274+E277+E280+E283+E286+E289</f>
        <v>0</v>
      </c>
      <c r="F257" s="54" t="s">
        <v>236</v>
      </c>
      <c r="G257" s="52">
        <f t="shared" si="135"/>
        <v>540706395</v>
      </c>
      <c r="H257" s="52">
        <f t="shared" ref="H257:I291" si="141">K257+O257</f>
        <v>248187283</v>
      </c>
      <c r="I257" s="52">
        <f t="shared" si="141"/>
        <v>23000526</v>
      </c>
      <c r="J257" s="52">
        <f>J258+J261+J264+J269+J274+J277+J280+J283+J286+J289</f>
        <v>271187809</v>
      </c>
      <c r="K257" s="52">
        <f t="shared" ref="K257:Q257" si="142">K258+K261+K264+K269+K274+K277+K280+K283+K286+K289</f>
        <v>248187283</v>
      </c>
      <c r="L257" s="52">
        <f t="shared" si="142"/>
        <v>23000526</v>
      </c>
      <c r="M257" s="52">
        <f t="shared" si="142"/>
        <v>269518586</v>
      </c>
      <c r="N257" s="52">
        <f t="shared" si="142"/>
        <v>0</v>
      </c>
      <c r="O257" s="52">
        <f t="shared" si="142"/>
        <v>0</v>
      </c>
      <c r="P257" s="52">
        <f t="shared" si="142"/>
        <v>0</v>
      </c>
      <c r="Q257" s="52">
        <f t="shared" si="142"/>
        <v>0</v>
      </c>
    </row>
    <row r="258" spans="1:22" ht="28" customHeight="1" x14ac:dyDescent="0.35">
      <c r="A258" s="252" t="s">
        <v>237</v>
      </c>
      <c r="B258" s="251" t="s">
        <v>238</v>
      </c>
      <c r="C258" s="56">
        <f>C259</f>
        <v>0</v>
      </c>
      <c r="D258" s="57">
        <f>D259</f>
        <v>0</v>
      </c>
      <c r="E258" s="58">
        <f>E259</f>
        <v>0</v>
      </c>
      <c r="F258" s="59" t="s">
        <v>239</v>
      </c>
      <c r="G258" s="58">
        <f t="shared" si="135"/>
        <v>108089250</v>
      </c>
      <c r="H258" s="58">
        <f t="shared" si="141"/>
        <v>77589250</v>
      </c>
      <c r="I258" s="58">
        <f t="shared" si="141"/>
        <v>0</v>
      </c>
      <c r="J258" s="58">
        <f>J259</f>
        <v>77589250</v>
      </c>
      <c r="K258" s="58">
        <f t="shared" ref="K258:Q259" si="143">K259</f>
        <v>77589250</v>
      </c>
      <c r="L258" s="58">
        <f t="shared" si="143"/>
        <v>0</v>
      </c>
      <c r="M258" s="58">
        <f t="shared" si="143"/>
        <v>30500000</v>
      </c>
      <c r="N258" s="58">
        <f t="shared" si="143"/>
        <v>0</v>
      </c>
      <c r="O258" s="58">
        <f t="shared" si="143"/>
        <v>0</v>
      </c>
      <c r="P258" s="58">
        <f t="shared" si="143"/>
        <v>0</v>
      </c>
      <c r="Q258" s="58">
        <f t="shared" si="143"/>
        <v>0</v>
      </c>
    </row>
    <row r="259" spans="1:22" ht="28" customHeight="1" x14ac:dyDescent="0.35">
      <c r="A259" s="252"/>
      <c r="B259" s="251"/>
      <c r="C259" s="60">
        <v>0</v>
      </c>
      <c r="D259" s="60">
        <v>0</v>
      </c>
      <c r="E259" s="60">
        <v>0</v>
      </c>
      <c r="F259" s="61" t="s">
        <v>150</v>
      </c>
      <c r="G259" s="60">
        <f t="shared" si="135"/>
        <v>108089250</v>
      </c>
      <c r="H259" s="60">
        <f t="shared" si="141"/>
        <v>77589250</v>
      </c>
      <c r="I259" s="60">
        <f t="shared" si="141"/>
        <v>0</v>
      </c>
      <c r="J259" s="60">
        <f>J260</f>
        <v>77589250</v>
      </c>
      <c r="K259" s="60">
        <f t="shared" si="143"/>
        <v>77589250</v>
      </c>
      <c r="L259" s="60">
        <f t="shared" si="143"/>
        <v>0</v>
      </c>
      <c r="M259" s="60">
        <f t="shared" si="143"/>
        <v>30500000</v>
      </c>
      <c r="N259" s="60">
        <f t="shared" si="143"/>
        <v>0</v>
      </c>
      <c r="O259" s="60">
        <f t="shared" si="143"/>
        <v>0</v>
      </c>
      <c r="P259" s="60">
        <f t="shared" si="143"/>
        <v>0</v>
      </c>
      <c r="Q259" s="60">
        <f t="shared" si="143"/>
        <v>0</v>
      </c>
    </row>
    <row r="260" spans="1:22" ht="28" customHeight="1" x14ac:dyDescent="0.35">
      <c r="A260" s="252"/>
      <c r="B260" s="251"/>
      <c r="C260" s="90"/>
      <c r="D260" s="73"/>
      <c r="E260" s="19"/>
      <c r="F260" s="66" t="s">
        <v>151</v>
      </c>
      <c r="G260" s="67">
        <f t="shared" si="135"/>
        <v>108089250</v>
      </c>
      <c r="H260" s="67">
        <f t="shared" si="141"/>
        <v>77589250</v>
      </c>
      <c r="I260" s="67">
        <f t="shared" si="141"/>
        <v>0</v>
      </c>
      <c r="J260" s="67">
        <f>K260+L260</f>
        <v>77589250</v>
      </c>
      <c r="K260" s="67">
        <f>137289250-43200000-16500000</f>
        <v>77589250</v>
      </c>
      <c r="L260" s="67">
        <v>0</v>
      </c>
      <c r="M260" s="68">
        <f>110800000-96800000+16500000</f>
        <v>30500000</v>
      </c>
      <c r="N260" s="68">
        <f>O260+P260</f>
        <v>0</v>
      </c>
      <c r="O260" s="68">
        <v>0</v>
      </c>
      <c r="P260" s="68">
        <v>0</v>
      </c>
      <c r="Q260" s="68">
        <v>0</v>
      </c>
    </row>
    <row r="261" spans="1:22" ht="28" customHeight="1" x14ac:dyDescent="0.35">
      <c r="A261" s="252" t="s">
        <v>240</v>
      </c>
      <c r="B261" s="251" t="s">
        <v>241</v>
      </c>
      <c r="C261" s="56">
        <f>C262</f>
        <v>0</v>
      </c>
      <c r="D261" s="57">
        <f>D262</f>
        <v>0</v>
      </c>
      <c r="E261" s="58">
        <f>E262</f>
        <v>0</v>
      </c>
      <c r="F261" s="59" t="s">
        <v>242</v>
      </c>
      <c r="G261" s="58">
        <f t="shared" si="135"/>
        <v>20100000</v>
      </c>
      <c r="H261" s="58">
        <f t="shared" si="141"/>
        <v>0</v>
      </c>
      <c r="I261" s="58">
        <f t="shared" si="141"/>
        <v>0</v>
      </c>
      <c r="J261" s="58">
        <f>J262</f>
        <v>0</v>
      </c>
      <c r="K261" s="58">
        <f t="shared" ref="K261:Q262" si="144">K262</f>
        <v>0</v>
      </c>
      <c r="L261" s="58">
        <f t="shared" si="144"/>
        <v>0</v>
      </c>
      <c r="M261" s="58">
        <f t="shared" si="144"/>
        <v>20100000</v>
      </c>
      <c r="N261" s="58">
        <f t="shared" si="144"/>
        <v>0</v>
      </c>
      <c r="O261" s="58">
        <f t="shared" si="144"/>
        <v>0</v>
      </c>
      <c r="P261" s="58">
        <f t="shared" si="144"/>
        <v>0</v>
      </c>
      <c r="Q261" s="58">
        <f t="shared" si="144"/>
        <v>0</v>
      </c>
    </row>
    <row r="262" spans="1:22" ht="28" customHeight="1" x14ac:dyDescent="0.35">
      <c r="A262" s="252"/>
      <c r="B262" s="251"/>
      <c r="C262" s="60">
        <v>0</v>
      </c>
      <c r="D262" s="60">
        <v>0</v>
      </c>
      <c r="E262" s="60">
        <v>0</v>
      </c>
      <c r="F262" s="61" t="s">
        <v>150</v>
      </c>
      <c r="G262" s="60">
        <f t="shared" si="135"/>
        <v>20100000</v>
      </c>
      <c r="H262" s="60">
        <f t="shared" si="141"/>
        <v>0</v>
      </c>
      <c r="I262" s="60">
        <f t="shared" si="141"/>
        <v>0</v>
      </c>
      <c r="J262" s="60">
        <f>J263</f>
        <v>0</v>
      </c>
      <c r="K262" s="60">
        <f t="shared" si="144"/>
        <v>0</v>
      </c>
      <c r="L262" s="60">
        <f t="shared" si="144"/>
        <v>0</v>
      </c>
      <c r="M262" s="60">
        <f t="shared" si="144"/>
        <v>20100000</v>
      </c>
      <c r="N262" s="60">
        <f t="shared" si="144"/>
        <v>0</v>
      </c>
      <c r="O262" s="60">
        <f t="shared" si="144"/>
        <v>0</v>
      </c>
      <c r="P262" s="60">
        <f t="shared" si="144"/>
        <v>0</v>
      </c>
      <c r="Q262" s="60">
        <f t="shared" si="144"/>
        <v>0</v>
      </c>
    </row>
    <row r="263" spans="1:22" ht="28" customHeight="1" x14ac:dyDescent="0.35">
      <c r="A263" s="252"/>
      <c r="B263" s="251"/>
      <c r="C263" s="90"/>
      <c r="D263" s="73"/>
      <c r="E263" s="19"/>
      <c r="F263" s="66" t="s">
        <v>151</v>
      </c>
      <c r="G263" s="67">
        <f t="shared" si="135"/>
        <v>20100000</v>
      </c>
      <c r="H263" s="67">
        <f t="shared" si="141"/>
        <v>0</v>
      </c>
      <c r="I263" s="67">
        <f t="shared" si="141"/>
        <v>0</v>
      </c>
      <c r="J263" s="67">
        <f>K263+L263</f>
        <v>0</v>
      </c>
      <c r="K263" s="67">
        <v>0</v>
      </c>
      <c r="L263" s="67">
        <v>0</v>
      </c>
      <c r="M263" s="68">
        <v>20100000</v>
      </c>
      <c r="N263" s="68">
        <f>O263+P263</f>
        <v>0</v>
      </c>
      <c r="O263" s="68">
        <v>0</v>
      </c>
      <c r="P263" s="68">
        <v>0</v>
      </c>
      <c r="Q263" s="68">
        <v>0</v>
      </c>
    </row>
    <row r="264" spans="1:22" ht="28" customHeight="1" x14ac:dyDescent="0.35">
      <c r="A264" s="252" t="s">
        <v>243</v>
      </c>
      <c r="B264" s="251" t="s">
        <v>244</v>
      </c>
      <c r="C264" s="56">
        <f>C265</f>
        <v>2469876</v>
      </c>
      <c r="D264" s="57">
        <f>D265</f>
        <v>0</v>
      </c>
      <c r="E264" s="58">
        <f>E265</f>
        <v>0</v>
      </c>
      <c r="F264" s="59" t="s">
        <v>245</v>
      </c>
      <c r="G264" s="58">
        <f t="shared" si="135"/>
        <v>9973876</v>
      </c>
      <c r="H264" s="58">
        <f t="shared" si="141"/>
        <v>7973876</v>
      </c>
      <c r="I264" s="58">
        <f t="shared" si="141"/>
        <v>2000000</v>
      </c>
      <c r="J264" s="58">
        <f>J265</f>
        <v>9973876</v>
      </c>
      <c r="K264" s="58">
        <f t="shared" ref="K264:Q264" si="145">K265</f>
        <v>7973876</v>
      </c>
      <c r="L264" s="58">
        <f t="shared" si="145"/>
        <v>2000000</v>
      </c>
      <c r="M264" s="58">
        <f t="shared" si="145"/>
        <v>0</v>
      </c>
      <c r="N264" s="58">
        <f t="shared" si="145"/>
        <v>0</v>
      </c>
      <c r="O264" s="58">
        <f t="shared" si="145"/>
        <v>0</v>
      </c>
      <c r="P264" s="58">
        <f t="shared" si="145"/>
        <v>0</v>
      </c>
      <c r="Q264" s="58">
        <f t="shared" si="145"/>
        <v>0</v>
      </c>
    </row>
    <row r="265" spans="1:22" ht="28" customHeight="1" x14ac:dyDescent="0.35">
      <c r="A265" s="252"/>
      <c r="B265" s="251"/>
      <c r="C265" s="69">
        <f>G267+G268</f>
        <v>2469876</v>
      </c>
      <c r="D265" s="60">
        <v>0</v>
      </c>
      <c r="E265" s="60">
        <v>0</v>
      </c>
      <c r="F265" s="61" t="s">
        <v>150</v>
      </c>
      <c r="G265" s="60">
        <f t="shared" si="135"/>
        <v>9973876</v>
      </c>
      <c r="H265" s="60">
        <f t="shared" si="141"/>
        <v>7973876</v>
      </c>
      <c r="I265" s="60">
        <f t="shared" si="141"/>
        <v>2000000</v>
      </c>
      <c r="J265" s="60">
        <f>J266+J267+J268</f>
        <v>9973876</v>
      </c>
      <c r="K265" s="60">
        <f t="shared" ref="K265:Q265" si="146">K266+K267+K268</f>
        <v>7973876</v>
      </c>
      <c r="L265" s="60">
        <f t="shared" si="146"/>
        <v>2000000</v>
      </c>
      <c r="M265" s="60">
        <f t="shared" si="146"/>
        <v>0</v>
      </c>
      <c r="N265" s="60">
        <f t="shared" si="146"/>
        <v>0</v>
      </c>
      <c r="O265" s="60">
        <f t="shared" si="146"/>
        <v>0</v>
      </c>
      <c r="P265" s="60">
        <f t="shared" si="146"/>
        <v>0</v>
      </c>
      <c r="Q265" s="60">
        <f t="shared" si="146"/>
        <v>0</v>
      </c>
    </row>
    <row r="266" spans="1:22" ht="28" customHeight="1" x14ac:dyDescent="0.35">
      <c r="A266" s="252"/>
      <c r="B266" s="251"/>
      <c r="C266" s="78"/>
      <c r="D266" s="105"/>
      <c r="E266" s="106"/>
      <c r="F266" s="66" t="s">
        <v>151</v>
      </c>
      <c r="G266" s="67">
        <f t="shared" si="135"/>
        <v>7504000</v>
      </c>
      <c r="H266" s="67">
        <f t="shared" si="141"/>
        <v>5504000</v>
      </c>
      <c r="I266" s="67">
        <f t="shared" si="141"/>
        <v>2000000</v>
      </c>
      <c r="J266" s="67">
        <f>K266+L266</f>
        <v>7504000</v>
      </c>
      <c r="K266" s="67">
        <v>5504000</v>
      </c>
      <c r="L266" s="67">
        <v>2000000</v>
      </c>
      <c r="M266" s="68">
        <v>0</v>
      </c>
      <c r="N266" s="68">
        <f>O266+P266</f>
        <v>0</v>
      </c>
      <c r="O266" s="68">
        <v>0</v>
      </c>
      <c r="P266" s="68">
        <v>0</v>
      </c>
      <c r="Q266" s="68">
        <v>0</v>
      </c>
    </row>
    <row r="267" spans="1:22" ht="28" customHeight="1" x14ac:dyDescent="0.35">
      <c r="A267" s="252"/>
      <c r="B267" s="251"/>
      <c r="C267" s="78"/>
      <c r="D267" s="105"/>
      <c r="E267" s="106"/>
      <c r="F267" s="66" t="s">
        <v>152</v>
      </c>
      <c r="G267" s="71">
        <f t="shared" si="135"/>
        <v>1275667</v>
      </c>
      <c r="H267" s="71">
        <f t="shared" si="141"/>
        <v>1275667</v>
      </c>
      <c r="I267" s="71">
        <f t="shared" si="141"/>
        <v>0</v>
      </c>
      <c r="J267" s="71">
        <f>K267+L267</f>
        <v>1275667</v>
      </c>
      <c r="K267" s="71">
        <f>3256000-318800-1110625-550908</f>
        <v>1275667</v>
      </c>
      <c r="L267" s="71">
        <v>0</v>
      </c>
      <c r="M267" s="71">
        <v>0</v>
      </c>
      <c r="N267" s="71">
        <f>O267+P267</f>
        <v>0</v>
      </c>
      <c r="O267" s="71">
        <v>0</v>
      </c>
      <c r="P267" s="71">
        <v>0</v>
      </c>
      <c r="Q267" s="71">
        <v>0</v>
      </c>
    </row>
    <row r="268" spans="1:22" ht="28" customHeight="1" x14ac:dyDescent="0.35">
      <c r="A268" s="252"/>
      <c r="B268" s="251"/>
      <c r="C268" s="78"/>
      <c r="D268" s="105"/>
      <c r="E268" s="106"/>
      <c r="F268" s="66" t="s">
        <v>153</v>
      </c>
      <c r="G268" s="71">
        <f t="shared" si="135"/>
        <v>1194209</v>
      </c>
      <c r="H268" s="71">
        <f t="shared" si="141"/>
        <v>1194209</v>
      </c>
      <c r="I268" s="71">
        <f t="shared" si="141"/>
        <v>0</v>
      </c>
      <c r="J268" s="71">
        <f>K268+L268</f>
        <v>1194209</v>
      </c>
      <c r="K268" s="71">
        <f>8000000-5607435-31308-1167048</f>
        <v>1194209</v>
      </c>
      <c r="L268" s="71">
        <v>0</v>
      </c>
      <c r="M268" s="71">
        <v>0</v>
      </c>
      <c r="N268" s="71">
        <f>O268+P268</f>
        <v>0</v>
      </c>
      <c r="O268" s="71">
        <v>0</v>
      </c>
      <c r="P268" s="71">
        <v>0</v>
      </c>
      <c r="Q268" s="71">
        <v>0</v>
      </c>
    </row>
    <row r="269" spans="1:22" ht="28" customHeight="1" x14ac:dyDescent="0.35">
      <c r="A269" s="263" t="s">
        <v>246</v>
      </c>
      <c r="B269" s="265" t="s">
        <v>247</v>
      </c>
      <c r="C269" s="56">
        <f>C270</f>
        <v>122629291</v>
      </c>
      <c r="D269" s="57">
        <f>D270</f>
        <v>0</v>
      </c>
      <c r="E269" s="58">
        <f>E270</f>
        <v>0</v>
      </c>
      <c r="F269" s="59" t="s">
        <v>248</v>
      </c>
      <c r="G269" s="58">
        <f t="shared" si="135"/>
        <v>126229291</v>
      </c>
      <c r="H269" s="58">
        <f t="shared" si="141"/>
        <v>110228765</v>
      </c>
      <c r="I269" s="58">
        <f t="shared" si="141"/>
        <v>16000526</v>
      </c>
      <c r="J269" s="58">
        <f>J270</f>
        <v>126229291</v>
      </c>
      <c r="K269" s="58">
        <f t="shared" ref="K269:Q269" si="147">K270</f>
        <v>110228765</v>
      </c>
      <c r="L269" s="58">
        <f t="shared" si="147"/>
        <v>16000526</v>
      </c>
      <c r="M269" s="58">
        <f t="shared" si="147"/>
        <v>0</v>
      </c>
      <c r="N269" s="58">
        <f t="shared" si="147"/>
        <v>0</v>
      </c>
      <c r="O269" s="58">
        <f t="shared" si="147"/>
        <v>0</v>
      </c>
      <c r="P269" s="58">
        <f t="shared" si="147"/>
        <v>0</v>
      </c>
      <c r="Q269" s="58">
        <f t="shared" si="147"/>
        <v>0</v>
      </c>
      <c r="R269" s="89"/>
      <c r="S269" s="89"/>
      <c r="T269" s="89"/>
      <c r="U269" s="89"/>
      <c r="V269" s="89"/>
    </row>
    <row r="270" spans="1:22" ht="28" customHeight="1" x14ac:dyDescent="0.35">
      <c r="A270" s="252"/>
      <c r="B270" s="265"/>
      <c r="C270" s="69">
        <f>G272+G273</f>
        <v>122629291</v>
      </c>
      <c r="D270" s="60">
        <v>0</v>
      </c>
      <c r="E270" s="60">
        <v>0</v>
      </c>
      <c r="F270" s="61" t="s">
        <v>36</v>
      </c>
      <c r="G270" s="60">
        <f t="shared" si="135"/>
        <v>126229291</v>
      </c>
      <c r="H270" s="60">
        <f t="shared" si="141"/>
        <v>110228765</v>
      </c>
      <c r="I270" s="60">
        <f t="shared" si="141"/>
        <v>16000526</v>
      </c>
      <c r="J270" s="60">
        <f>J271+J272+J273</f>
        <v>126229291</v>
      </c>
      <c r="K270" s="60">
        <f t="shared" ref="K270:Q270" si="148">K271+K272+K273</f>
        <v>110228765</v>
      </c>
      <c r="L270" s="60">
        <f t="shared" si="148"/>
        <v>16000526</v>
      </c>
      <c r="M270" s="60">
        <f t="shared" si="148"/>
        <v>0</v>
      </c>
      <c r="N270" s="60">
        <f t="shared" si="148"/>
        <v>0</v>
      </c>
      <c r="O270" s="60">
        <f t="shared" si="148"/>
        <v>0</v>
      </c>
      <c r="P270" s="60">
        <f t="shared" si="148"/>
        <v>0</v>
      </c>
      <c r="Q270" s="60">
        <f t="shared" si="148"/>
        <v>0</v>
      </c>
      <c r="R270" s="89"/>
      <c r="S270" s="89"/>
      <c r="T270" s="89"/>
      <c r="U270" s="89"/>
      <c r="V270" s="89"/>
    </row>
    <row r="271" spans="1:22" ht="28" customHeight="1" x14ac:dyDescent="0.35">
      <c r="A271" s="252"/>
      <c r="B271" s="265"/>
      <c r="C271" s="78"/>
      <c r="D271" s="73"/>
      <c r="E271" s="19"/>
      <c r="F271" s="66" t="s">
        <v>37</v>
      </c>
      <c r="G271" s="67">
        <f t="shared" si="135"/>
        <v>3600000</v>
      </c>
      <c r="H271" s="67">
        <f t="shared" si="141"/>
        <v>3600000</v>
      </c>
      <c r="I271" s="67">
        <f t="shared" si="141"/>
        <v>0</v>
      </c>
      <c r="J271" s="67">
        <f>K271+L271</f>
        <v>3600000</v>
      </c>
      <c r="K271" s="67">
        <f>3600000</f>
        <v>3600000</v>
      </c>
      <c r="L271" s="67">
        <v>0</v>
      </c>
      <c r="M271" s="68">
        <v>0</v>
      </c>
      <c r="N271" s="68">
        <f>O271+P271</f>
        <v>0</v>
      </c>
      <c r="O271" s="68">
        <v>0</v>
      </c>
      <c r="P271" s="68">
        <v>0</v>
      </c>
      <c r="Q271" s="68">
        <v>0</v>
      </c>
      <c r="R271" s="89"/>
      <c r="S271" s="89"/>
      <c r="T271" s="89"/>
      <c r="U271" s="89"/>
      <c r="V271" s="89"/>
    </row>
    <row r="272" spans="1:22" ht="28" customHeight="1" x14ac:dyDescent="0.35">
      <c r="A272" s="252"/>
      <c r="B272" s="265"/>
      <c r="C272" s="78"/>
      <c r="D272" s="73"/>
      <c r="E272" s="107"/>
      <c r="F272" s="66" t="s">
        <v>38</v>
      </c>
      <c r="G272" s="71">
        <f t="shared" si="135"/>
        <v>29330608</v>
      </c>
      <c r="H272" s="71">
        <f t="shared" si="141"/>
        <v>19721417</v>
      </c>
      <c r="I272" s="71">
        <f t="shared" si="141"/>
        <v>9609191</v>
      </c>
      <c r="J272" s="71">
        <f>K272+L272</f>
        <v>29330608</v>
      </c>
      <c r="K272" s="71">
        <f>10234400+9256000-935000+1110625-1197987+1253379</f>
        <v>19721417</v>
      </c>
      <c r="L272" s="71">
        <f>3500000+5955206+153985</f>
        <v>9609191</v>
      </c>
      <c r="M272" s="71">
        <v>0</v>
      </c>
      <c r="N272" s="71">
        <f>O272+P272</f>
        <v>0</v>
      </c>
      <c r="O272" s="71">
        <v>0</v>
      </c>
      <c r="P272" s="71">
        <v>0</v>
      </c>
      <c r="Q272" s="71">
        <v>0</v>
      </c>
      <c r="R272" s="89"/>
      <c r="S272" s="89"/>
      <c r="T272" s="89"/>
      <c r="U272" s="89"/>
      <c r="V272" s="89"/>
    </row>
    <row r="273" spans="1:22" ht="28" customHeight="1" x14ac:dyDescent="0.35">
      <c r="A273" s="252"/>
      <c r="B273" s="265"/>
      <c r="C273" s="78"/>
      <c r="D273" s="73"/>
      <c r="E273" s="19"/>
      <c r="F273" s="66" t="s">
        <v>39</v>
      </c>
      <c r="G273" s="71">
        <f t="shared" si="135"/>
        <v>93298683</v>
      </c>
      <c r="H273" s="71">
        <f t="shared" si="141"/>
        <v>86907348</v>
      </c>
      <c r="I273" s="71">
        <f t="shared" si="141"/>
        <v>6391335</v>
      </c>
      <c r="J273" s="71">
        <f>K273+L273</f>
        <v>93298683</v>
      </c>
      <c r="K273" s="71">
        <f>51748710+935000+544914+261559+824098+395567+718452+344857+27531945-622891-452668+4677805</f>
        <v>86907348</v>
      </c>
      <c r="L273" s="71">
        <f>3500000+1806791+1084544</f>
        <v>6391335</v>
      </c>
      <c r="M273" s="71">
        <v>0</v>
      </c>
      <c r="N273" s="71">
        <f>O273+P273</f>
        <v>0</v>
      </c>
      <c r="O273" s="71">
        <v>0</v>
      </c>
      <c r="P273" s="71">
        <v>0</v>
      </c>
      <c r="Q273" s="71">
        <v>0</v>
      </c>
      <c r="R273" s="89"/>
      <c r="S273" s="89"/>
      <c r="T273" s="89"/>
      <c r="U273" s="89"/>
      <c r="V273" s="89"/>
    </row>
    <row r="274" spans="1:22" ht="28" customHeight="1" x14ac:dyDescent="0.35">
      <c r="A274" s="263" t="s">
        <v>249</v>
      </c>
      <c r="B274" s="251" t="s">
        <v>250</v>
      </c>
      <c r="C274" s="56">
        <f>C275</f>
        <v>0</v>
      </c>
      <c r="D274" s="57">
        <f>D275</f>
        <v>0</v>
      </c>
      <c r="E274" s="58">
        <f>E275</f>
        <v>0</v>
      </c>
      <c r="F274" s="59" t="s">
        <v>251</v>
      </c>
      <c r="G274" s="58">
        <f t="shared" si="135"/>
        <v>13400000</v>
      </c>
      <c r="H274" s="58">
        <f t="shared" si="141"/>
        <v>8100000</v>
      </c>
      <c r="I274" s="58">
        <f t="shared" si="141"/>
        <v>0</v>
      </c>
      <c r="J274" s="58">
        <f>J275</f>
        <v>8100000</v>
      </c>
      <c r="K274" s="58">
        <f t="shared" ref="K274:Q275" si="149">K275</f>
        <v>8100000</v>
      </c>
      <c r="L274" s="58">
        <f t="shared" si="149"/>
        <v>0</v>
      </c>
      <c r="M274" s="58">
        <f t="shared" si="149"/>
        <v>5300000</v>
      </c>
      <c r="N274" s="58">
        <f t="shared" si="149"/>
        <v>0</v>
      </c>
      <c r="O274" s="58">
        <f t="shared" si="149"/>
        <v>0</v>
      </c>
      <c r="P274" s="58">
        <f t="shared" si="149"/>
        <v>0</v>
      </c>
      <c r="Q274" s="58">
        <f t="shared" si="149"/>
        <v>0</v>
      </c>
    </row>
    <row r="275" spans="1:22" ht="28" customHeight="1" x14ac:dyDescent="0.35">
      <c r="A275" s="252"/>
      <c r="B275" s="251"/>
      <c r="C275" s="60">
        <v>0</v>
      </c>
      <c r="D275" s="60">
        <v>0</v>
      </c>
      <c r="E275" s="60">
        <v>0</v>
      </c>
      <c r="F275" s="61" t="s">
        <v>150</v>
      </c>
      <c r="G275" s="60">
        <f t="shared" si="135"/>
        <v>13400000</v>
      </c>
      <c r="H275" s="60">
        <f t="shared" si="141"/>
        <v>8100000</v>
      </c>
      <c r="I275" s="60">
        <f t="shared" si="141"/>
        <v>0</v>
      </c>
      <c r="J275" s="60">
        <f>J276</f>
        <v>8100000</v>
      </c>
      <c r="K275" s="60">
        <f t="shared" si="149"/>
        <v>8100000</v>
      </c>
      <c r="L275" s="60">
        <f t="shared" si="149"/>
        <v>0</v>
      </c>
      <c r="M275" s="60">
        <f t="shared" si="149"/>
        <v>5300000</v>
      </c>
      <c r="N275" s="60">
        <f t="shared" si="149"/>
        <v>0</v>
      </c>
      <c r="O275" s="60">
        <f t="shared" si="149"/>
        <v>0</v>
      </c>
      <c r="P275" s="60">
        <f t="shared" si="149"/>
        <v>0</v>
      </c>
      <c r="Q275" s="60">
        <f t="shared" si="149"/>
        <v>0</v>
      </c>
    </row>
    <row r="276" spans="1:22" ht="28" customHeight="1" x14ac:dyDescent="0.35">
      <c r="A276" s="252"/>
      <c r="B276" s="251"/>
      <c r="C276" s="90"/>
      <c r="D276" s="105"/>
      <c r="E276" s="19"/>
      <c r="F276" s="66" t="s">
        <v>151</v>
      </c>
      <c r="G276" s="67">
        <f t="shared" si="135"/>
        <v>13400000</v>
      </c>
      <c r="H276" s="67">
        <f t="shared" si="141"/>
        <v>8100000</v>
      </c>
      <c r="I276" s="67">
        <f t="shared" si="141"/>
        <v>0</v>
      </c>
      <c r="J276" s="67">
        <f>K276+L276</f>
        <v>8100000</v>
      </c>
      <c r="K276" s="67">
        <v>8100000</v>
      </c>
      <c r="L276" s="67">
        <v>0</v>
      </c>
      <c r="M276" s="68">
        <v>5300000</v>
      </c>
      <c r="N276" s="68">
        <f>O276+P276</f>
        <v>0</v>
      </c>
      <c r="O276" s="68">
        <v>0</v>
      </c>
      <c r="P276" s="68">
        <v>0</v>
      </c>
      <c r="Q276" s="68">
        <v>0</v>
      </c>
    </row>
    <row r="277" spans="1:22" ht="28" customHeight="1" x14ac:dyDescent="0.35">
      <c r="A277" s="263" t="s">
        <v>252</v>
      </c>
      <c r="B277" s="215" t="s">
        <v>253</v>
      </c>
      <c r="C277" s="56">
        <f>C278</f>
        <v>0</v>
      </c>
      <c r="D277" s="57">
        <f>D278</f>
        <v>0</v>
      </c>
      <c r="E277" s="58">
        <f>E278</f>
        <v>0</v>
      </c>
      <c r="F277" s="59" t="s">
        <v>254</v>
      </c>
      <c r="G277" s="58">
        <f t="shared" si="135"/>
        <v>0</v>
      </c>
      <c r="H277" s="58">
        <f t="shared" si="141"/>
        <v>0</v>
      </c>
      <c r="I277" s="58">
        <f t="shared" si="141"/>
        <v>0</v>
      </c>
      <c r="J277" s="58">
        <f>J278</f>
        <v>0</v>
      </c>
      <c r="K277" s="58">
        <f t="shared" ref="K277:Q278" si="150">K278</f>
        <v>0</v>
      </c>
      <c r="L277" s="58">
        <f t="shared" si="150"/>
        <v>0</v>
      </c>
      <c r="M277" s="58">
        <f t="shared" si="150"/>
        <v>0</v>
      </c>
      <c r="N277" s="58">
        <f t="shared" si="150"/>
        <v>0</v>
      </c>
      <c r="O277" s="58">
        <f t="shared" si="150"/>
        <v>0</v>
      </c>
      <c r="P277" s="58">
        <f t="shared" si="150"/>
        <v>0</v>
      </c>
      <c r="Q277" s="58">
        <f t="shared" si="150"/>
        <v>0</v>
      </c>
    </row>
    <row r="278" spans="1:22" ht="28" customHeight="1" x14ac:dyDescent="0.35">
      <c r="A278" s="252"/>
      <c r="B278" s="215"/>
      <c r="C278" s="60">
        <v>0</v>
      </c>
      <c r="D278" s="60">
        <v>0</v>
      </c>
      <c r="E278" s="60">
        <v>0</v>
      </c>
      <c r="F278" s="61" t="s">
        <v>150</v>
      </c>
      <c r="G278" s="60">
        <f t="shared" si="135"/>
        <v>0</v>
      </c>
      <c r="H278" s="60">
        <f t="shared" si="141"/>
        <v>0</v>
      </c>
      <c r="I278" s="60">
        <f t="shared" si="141"/>
        <v>0</v>
      </c>
      <c r="J278" s="60">
        <f>J279</f>
        <v>0</v>
      </c>
      <c r="K278" s="60">
        <f t="shared" si="150"/>
        <v>0</v>
      </c>
      <c r="L278" s="60">
        <f t="shared" si="150"/>
        <v>0</v>
      </c>
      <c r="M278" s="60">
        <f t="shared" si="150"/>
        <v>0</v>
      </c>
      <c r="N278" s="60">
        <f t="shared" si="150"/>
        <v>0</v>
      </c>
      <c r="O278" s="60">
        <f t="shared" si="150"/>
        <v>0</v>
      </c>
      <c r="P278" s="60">
        <f t="shared" si="150"/>
        <v>0</v>
      </c>
      <c r="Q278" s="60">
        <f t="shared" si="150"/>
        <v>0</v>
      </c>
    </row>
    <row r="279" spans="1:22" ht="28" customHeight="1" x14ac:dyDescent="0.35">
      <c r="A279" s="252"/>
      <c r="B279" s="215"/>
      <c r="C279" s="90"/>
      <c r="D279" s="73"/>
      <c r="E279" s="19"/>
      <c r="F279" s="66" t="s">
        <v>151</v>
      </c>
      <c r="G279" s="67">
        <f t="shared" si="135"/>
        <v>0</v>
      </c>
      <c r="H279" s="67">
        <f t="shared" si="141"/>
        <v>0</v>
      </c>
      <c r="I279" s="67">
        <f t="shared" si="141"/>
        <v>0</v>
      </c>
      <c r="J279" s="67">
        <f>K279+L279</f>
        <v>0</v>
      </c>
      <c r="K279" s="67">
        <v>0</v>
      </c>
      <c r="L279" s="67">
        <v>0</v>
      </c>
      <c r="M279" s="68">
        <f>10100000-10100000</f>
        <v>0</v>
      </c>
      <c r="N279" s="68">
        <f>O279+P279</f>
        <v>0</v>
      </c>
      <c r="O279" s="68">
        <v>0</v>
      </c>
      <c r="P279" s="68">
        <v>0</v>
      </c>
      <c r="Q279" s="68">
        <v>0</v>
      </c>
    </row>
    <row r="280" spans="1:22" ht="28" customHeight="1" x14ac:dyDescent="0.35">
      <c r="A280" s="264" t="s">
        <v>255</v>
      </c>
      <c r="B280" s="251" t="s">
        <v>256</v>
      </c>
      <c r="C280" s="56">
        <f>C281</f>
        <v>0</v>
      </c>
      <c r="D280" s="57">
        <f>D281</f>
        <v>0</v>
      </c>
      <c r="E280" s="58">
        <f>E281</f>
        <v>0</v>
      </c>
      <c r="F280" s="59" t="s">
        <v>257</v>
      </c>
      <c r="G280" s="58">
        <f t="shared" si="135"/>
        <v>189218586</v>
      </c>
      <c r="H280" s="58">
        <f t="shared" si="141"/>
        <v>0</v>
      </c>
      <c r="I280" s="58">
        <f t="shared" si="141"/>
        <v>0</v>
      </c>
      <c r="J280" s="58">
        <f>J281</f>
        <v>0</v>
      </c>
      <c r="K280" s="58">
        <f t="shared" ref="K280:Q281" si="151">K281</f>
        <v>0</v>
      </c>
      <c r="L280" s="58">
        <f t="shared" si="151"/>
        <v>0</v>
      </c>
      <c r="M280" s="58">
        <f t="shared" si="151"/>
        <v>189218586</v>
      </c>
      <c r="N280" s="58">
        <f t="shared" si="151"/>
        <v>0</v>
      </c>
      <c r="O280" s="58">
        <f t="shared" si="151"/>
        <v>0</v>
      </c>
      <c r="P280" s="58">
        <f t="shared" si="151"/>
        <v>0</v>
      </c>
      <c r="Q280" s="58">
        <f t="shared" si="151"/>
        <v>0</v>
      </c>
    </row>
    <row r="281" spans="1:22" ht="28" customHeight="1" x14ac:dyDescent="0.35">
      <c r="A281" s="250"/>
      <c r="B281" s="251"/>
      <c r="C281" s="60">
        <v>0</v>
      </c>
      <c r="D281" s="60">
        <v>0</v>
      </c>
      <c r="E281" s="60">
        <v>0</v>
      </c>
      <c r="F281" s="61" t="s">
        <v>150</v>
      </c>
      <c r="G281" s="60">
        <f t="shared" si="135"/>
        <v>189218586</v>
      </c>
      <c r="H281" s="60">
        <f t="shared" si="141"/>
        <v>0</v>
      </c>
      <c r="I281" s="60">
        <f t="shared" si="141"/>
        <v>0</v>
      </c>
      <c r="J281" s="60">
        <f>J282</f>
        <v>0</v>
      </c>
      <c r="K281" s="60">
        <f t="shared" si="151"/>
        <v>0</v>
      </c>
      <c r="L281" s="60">
        <f t="shared" si="151"/>
        <v>0</v>
      </c>
      <c r="M281" s="60">
        <f t="shared" si="151"/>
        <v>189218586</v>
      </c>
      <c r="N281" s="60">
        <f t="shared" si="151"/>
        <v>0</v>
      </c>
      <c r="O281" s="60">
        <f t="shared" si="151"/>
        <v>0</v>
      </c>
      <c r="P281" s="60">
        <f t="shared" si="151"/>
        <v>0</v>
      </c>
      <c r="Q281" s="60">
        <f t="shared" si="151"/>
        <v>0</v>
      </c>
    </row>
    <row r="282" spans="1:22" ht="28" customHeight="1" x14ac:dyDescent="0.35">
      <c r="A282" s="250"/>
      <c r="B282" s="251"/>
      <c r="C282" s="90"/>
      <c r="D282" s="73"/>
      <c r="E282" s="19"/>
      <c r="F282" s="66" t="s">
        <v>151</v>
      </c>
      <c r="G282" s="67">
        <f t="shared" si="135"/>
        <v>189218586</v>
      </c>
      <c r="H282" s="67">
        <f t="shared" si="141"/>
        <v>0</v>
      </c>
      <c r="I282" s="67">
        <f t="shared" si="141"/>
        <v>0</v>
      </c>
      <c r="J282" s="67">
        <f>K282+L282</f>
        <v>0</v>
      </c>
      <c r="K282" s="67">
        <v>0</v>
      </c>
      <c r="L282" s="67">
        <v>0</v>
      </c>
      <c r="M282" s="68">
        <f>239118586-49900000</f>
        <v>189218586</v>
      </c>
      <c r="N282" s="68">
        <f>O282+P282</f>
        <v>0</v>
      </c>
      <c r="O282" s="68">
        <v>0</v>
      </c>
      <c r="P282" s="68">
        <v>0</v>
      </c>
      <c r="Q282" s="68">
        <v>0</v>
      </c>
    </row>
    <row r="283" spans="1:22" ht="28" customHeight="1" x14ac:dyDescent="0.35">
      <c r="A283" s="263" t="s">
        <v>258</v>
      </c>
      <c r="B283" s="251" t="s">
        <v>259</v>
      </c>
      <c r="C283" s="56">
        <f>C284</f>
        <v>0</v>
      </c>
      <c r="D283" s="57">
        <f>D284</f>
        <v>0</v>
      </c>
      <c r="E283" s="58">
        <f>E284</f>
        <v>0</v>
      </c>
      <c r="F283" s="59" t="s">
        <v>260</v>
      </c>
      <c r="G283" s="58">
        <f t="shared" si="135"/>
        <v>42800000</v>
      </c>
      <c r="H283" s="58">
        <f t="shared" si="141"/>
        <v>37700000</v>
      </c>
      <c r="I283" s="58">
        <f t="shared" si="141"/>
        <v>0</v>
      </c>
      <c r="J283" s="58">
        <f>J284</f>
        <v>37700000</v>
      </c>
      <c r="K283" s="58">
        <f t="shared" ref="K283:Q284" si="152">K284</f>
        <v>37700000</v>
      </c>
      <c r="L283" s="58">
        <f t="shared" si="152"/>
        <v>0</v>
      </c>
      <c r="M283" s="58">
        <f t="shared" si="152"/>
        <v>5100000</v>
      </c>
      <c r="N283" s="58">
        <f t="shared" si="152"/>
        <v>0</v>
      </c>
      <c r="O283" s="58">
        <f t="shared" si="152"/>
        <v>0</v>
      </c>
      <c r="P283" s="58">
        <f t="shared" si="152"/>
        <v>0</v>
      </c>
      <c r="Q283" s="58">
        <f t="shared" si="152"/>
        <v>0</v>
      </c>
    </row>
    <row r="284" spans="1:22" ht="28" customHeight="1" x14ac:dyDescent="0.35">
      <c r="A284" s="252"/>
      <c r="B284" s="251"/>
      <c r="C284" s="60">
        <v>0</v>
      </c>
      <c r="D284" s="60">
        <v>0</v>
      </c>
      <c r="E284" s="60">
        <v>0</v>
      </c>
      <c r="F284" s="61" t="s">
        <v>150</v>
      </c>
      <c r="G284" s="60">
        <f t="shared" si="135"/>
        <v>42800000</v>
      </c>
      <c r="H284" s="60">
        <f t="shared" si="141"/>
        <v>37700000</v>
      </c>
      <c r="I284" s="60">
        <f t="shared" si="141"/>
        <v>0</v>
      </c>
      <c r="J284" s="60">
        <f>J285</f>
        <v>37700000</v>
      </c>
      <c r="K284" s="60">
        <f t="shared" si="152"/>
        <v>37700000</v>
      </c>
      <c r="L284" s="60">
        <f t="shared" si="152"/>
        <v>0</v>
      </c>
      <c r="M284" s="60">
        <f t="shared" si="152"/>
        <v>5100000</v>
      </c>
      <c r="N284" s="60">
        <f t="shared" si="152"/>
        <v>0</v>
      </c>
      <c r="O284" s="60">
        <f t="shared" si="152"/>
        <v>0</v>
      </c>
      <c r="P284" s="60">
        <f t="shared" si="152"/>
        <v>0</v>
      </c>
      <c r="Q284" s="60">
        <f t="shared" si="152"/>
        <v>0</v>
      </c>
    </row>
    <row r="285" spans="1:22" ht="28" customHeight="1" x14ac:dyDescent="0.35">
      <c r="A285" s="252"/>
      <c r="B285" s="251"/>
      <c r="C285" s="90"/>
      <c r="D285" s="73"/>
      <c r="E285" s="19"/>
      <c r="F285" s="66" t="s">
        <v>151</v>
      </c>
      <c r="G285" s="67">
        <f t="shared" si="135"/>
        <v>42800000</v>
      </c>
      <c r="H285" s="67">
        <f t="shared" si="141"/>
        <v>37700000</v>
      </c>
      <c r="I285" s="67">
        <f t="shared" si="141"/>
        <v>0</v>
      </c>
      <c r="J285" s="67">
        <f>K285+L285</f>
        <v>37700000</v>
      </c>
      <c r="K285" s="67">
        <v>37700000</v>
      </c>
      <c r="L285" s="67">
        <v>0</v>
      </c>
      <c r="M285" s="68">
        <v>5100000</v>
      </c>
      <c r="N285" s="68">
        <f>O285+P285</f>
        <v>0</v>
      </c>
      <c r="O285" s="68">
        <v>0</v>
      </c>
      <c r="P285" s="68">
        <v>0</v>
      </c>
      <c r="Q285" s="68">
        <v>0</v>
      </c>
    </row>
    <row r="286" spans="1:22" ht="68.150000000000006" customHeight="1" x14ac:dyDescent="0.35">
      <c r="A286" s="263" t="s">
        <v>261</v>
      </c>
      <c r="B286" s="251" t="s">
        <v>262</v>
      </c>
      <c r="C286" s="56">
        <f>C287</f>
        <v>0</v>
      </c>
      <c r="D286" s="57">
        <f>D287</f>
        <v>0</v>
      </c>
      <c r="E286" s="58">
        <f>E287</f>
        <v>0</v>
      </c>
      <c r="F286" s="59" t="s">
        <v>263</v>
      </c>
      <c r="G286" s="58">
        <f t="shared" si="135"/>
        <v>29200000</v>
      </c>
      <c r="H286" s="58">
        <f t="shared" si="141"/>
        <v>4900000</v>
      </c>
      <c r="I286" s="58">
        <f t="shared" si="141"/>
        <v>5000000</v>
      </c>
      <c r="J286" s="58">
        <f>J287</f>
        <v>9900000</v>
      </c>
      <c r="K286" s="58">
        <f t="shared" ref="K286:Q287" si="153">K287</f>
        <v>4900000</v>
      </c>
      <c r="L286" s="58">
        <f t="shared" si="153"/>
        <v>5000000</v>
      </c>
      <c r="M286" s="58">
        <f t="shared" si="153"/>
        <v>19300000</v>
      </c>
      <c r="N286" s="58">
        <f t="shared" si="153"/>
        <v>0</v>
      </c>
      <c r="O286" s="58">
        <f t="shared" si="153"/>
        <v>0</v>
      </c>
      <c r="P286" s="58">
        <f t="shared" si="153"/>
        <v>0</v>
      </c>
      <c r="Q286" s="58">
        <f t="shared" si="153"/>
        <v>0</v>
      </c>
    </row>
    <row r="287" spans="1:22" s="108" customFormat="1" ht="30" customHeight="1" x14ac:dyDescent="0.35">
      <c r="A287" s="252"/>
      <c r="B287" s="251"/>
      <c r="C287" s="60">
        <v>0</v>
      </c>
      <c r="D287" s="60">
        <v>0</v>
      </c>
      <c r="E287" s="60">
        <v>0</v>
      </c>
      <c r="F287" s="61" t="s">
        <v>150</v>
      </c>
      <c r="G287" s="60">
        <f t="shared" si="135"/>
        <v>29200000</v>
      </c>
      <c r="H287" s="60">
        <f t="shared" si="141"/>
        <v>4900000</v>
      </c>
      <c r="I287" s="60">
        <f t="shared" si="141"/>
        <v>5000000</v>
      </c>
      <c r="J287" s="60">
        <f>J288</f>
        <v>9900000</v>
      </c>
      <c r="K287" s="60">
        <f t="shared" si="153"/>
        <v>4900000</v>
      </c>
      <c r="L287" s="60">
        <f t="shared" si="153"/>
        <v>5000000</v>
      </c>
      <c r="M287" s="60">
        <f t="shared" si="153"/>
        <v>19300000</v>
      </c>
      <c r="N287" s="60">
        <f t="shared" si="153"/>
        <v>0</v>
      </c>
      <c r="O287" s="60">
        <f t="shared" si="153"/>
        <v>0</v>
      </c>
      <c r="P287" s="60">
        <f t="shared" si="153"/>
        <v>0</v>
      </c>
      <c r="Q287" s="60">
        <f t="shared" si="153"/>
        <v>0</v>
      </c>
    </row>
    <row r="288" spans="1:22" s="108" customFormat="1" ht="30" customHeight="1" x14ac:dyDescent="0.35">
      <c r="A288" s="252"/>
      <c r="B288" s="251"/>
      <c r="C288" s="109"/>
      <c r="D288" s="79"/>
      <c r="E288" s="78"/>
      <c r="F288" s="66" t="s">
        <v>151</v>
      </c>
      <c r="G288" s="67">
        <f t="shared" si="135"/>
        <v>29200000</v>
      </c>
      <c r="H288" s="67">
        <f t="shared" si="141"/>
        <v>4900000</v>
      </c>
      <c r="I288" s="67">
        <f t="shared" si="141"/>
        <v>5000000</v>
      </c>
      <c r="J288" s="67">
        <f>K288+L288</f>
        <v>9900000</v>
      </c>
      <c r="K288" s="67">
        <v>4900000</v>
      </c>
      <c r="L288" s="67">
        <v>5000000</v>
      </c>
      <c r="M288" s="68">
        <v>19300000</v>
      </c>
      <c r="N288" s="68">
        <f>O288+P288</f>
        <v>0</v>
      </c>
      <c r="O288" s="68">
        <v>0</v>
      </c>
      <c r="P288" s="68">
        <v>0</v>
      </c>
      <c r="Q288" s="68">
        <v>0</v>
      </c>
    </row>
    <row r="289" spans="1:17" s="108" customFormat="1" ht="28" customHeight="1" x14ac:dyDescent="0.35">
      <c r="A289" s="263" t="s">
        <v>264</v>
      </c>
      <c r="B289" s="251" t="s">
        <v>265</v>
      </c>
      <c r="C289" s="56">
        <f>C290</f>
        <v>0</v>
      </c>
      <c r="D289" s="57">
        <f>D290</f>
        <v>0</v>
      </c>
      <c r="E289" s="58">
        <f>E290</f>
        <v>0</v>
      </c>
      <c r="F289" s="59" t="s">
        <v>266</v>
      </c>
      <c r="G289" s="58">
        <f t="shared" si="135"/>
        <v>1695392</v>
      </c>
      <c r="H289" s="58">
        <f t="shared" si="141"/>
        <v>1695392</v>
      </c>
      <c r="I289" s="58">
        <f t="shared" si="141"/>
        <v>0</v>
      </c>
      <c r="J289" s="58">
        <f>J290</f>
        <v>1695392</v>
      </c>
      <c r="K289" s="58">
        <f t="shared" ref="K289:Q290" si="154">K290</f>
        <v>1695392</v>
      </c>
      <c r="L289" s="58">
        <f t="shared" si="154"/>
        <v>0</v>
      </c>
      <c r="M289" s="58">
        <f t="shared" si="154"/>
        <v>0</v>
      </c>
      <c r="N289" s="58">
        <f t="shared" si="154"/>
        <v>0</v>
      </c>
      <c r="O289" s="58">
        <f t="shared" si="154"/>
        <v>0</v>
      </c>
      <c r="P289" s="58">
        <f t="shared" si="154"/>
        <v>0</v>
      </c>
      <c r="Q289" s="58">
        <f t="shared" si="154"/>
        <v>0</v>
      </c>
    </row>
    <row r="290" spans="1:17" ht="28" customHeight="1" x14ac:dyDescent="0.35">
      <c r="A290" s="252"/>
      <c r="B290" s="251"/>
      <c r="C290" s="60">
        <v>0</v>
      </c>
      <c r="D290" s="60">
        <v>0</v>
      </c>
      <c r="E290" s="60">
        <v>0</v>
      </c>
      <c r="F290" s="61" t="s">
        <v>36</v>
      </c>
      <c r="G290" s="60">
        <f t="shared" si="135"/>
        <v>1695392</v>
      </c>
      <c r="H290" s="60">
        <f t="shared" si="141"/>
        <v>1695392</v>
      </c>
      <c r="I290" s="60">
        <f t="shared" si="141"/>
        <v>0</v>
      </c>
      <c r="J290" s="60">
        <f>J291</f>
        <v>1695392</v>
      </c>
      <c r="K290" s="60">
        <f t="shared" si="154"/>
        <v>1695392</v>
      </c>
      <c r="L290" s="60">
        <f t="shared" si="154"/>
        <v>0</v>
      </c>
      <c r="M290" s="60">
        <f t="shared" si="154"/>
        <v>0</v>
      </c>
      <c r="N290" s="60">
        <f t="shared" si="154"/>
        <v>0</v>
      </c>
      <c r="O290" s="60">
        <f t="shared" si="154"/>
        <v>0</v>
      </c>
      <c r="P290" s="60">
        <f t="shared" si="154"/>
        <v>0</v>
      </c>
      <c r="Q290" s="60">
        <f t="shared" si="154"/>
        <v>0</v>
      </c>
    </row>
    <row r="291" spans="1:17" ht="28" customHeight="1" x14ac:dyDescent="0.35">
      <c r="A291" s="252"/>
      <c r="B291" s="251"/>
      <c r="C291" s="110"/>
      <c r="D291" s="78"/>
      <c r="E291" s="78"/>
      <c r="F291" s="66" t="s">
        <v>37</v>
      </c>
      <c r="G291" s="67">
        <f t="shared" si="135"/>
        <v>1695392</v>
      </c>
      <c r="H291" s="67">
        <f t="shared" si="141"/>
        <v>1695392</v>
      </c>
      <c r="I291" s="67">
        <f t="shared" si="141"/>
        <v>0</v>
      </c>
      <c r="J291" s="67">
        <f>K291+L291</f>
        <v>1695392</v>
      </c>
      <c r="K291" s="67">
        <f>5000000+16500000-19804608</f>
        <v>1695392</v>
      </c>
      <c r="L291" s="67">
        <v>0</v>
      </c>
      <c r="M291" s="68">
        <f>16500000-16500000</f>
        <v>0</v>
      </c>
      <c r="N291" s="68">
        <f>O291+P291</f>
        <v>0</v>
      </c>
      <c r="O291" s="68">
        <v>0</v>
      </c>
      <c r="P291" s="68">
        <v>0</v>
      </c>
      <c r="Q291" s="68">
        <v>0</v>
      </c>
    </row>
    <row r="292" spans="1:17" ht="28.5" x14ac:dyDescent="0.35">
      <c r="A292" s="45" t="s">
        <v>267</v>
      </c>
      <c r="B292" s="46" t="s">
        <v>268</v>
      </c>
      <c r="C292" s="47">
        <f>C293</f>
        <v>705236498</v>
      </c>
      <c r="D292" s="47">
        <f>D293</f>
        <v>0</v>
      </c>
      <c r="E292" s="48">
        <f>E293</f>
        <v>0</v>
      </c>
      <c r="F292" s="49"/>
      <c r="G292" s="48">
        <f>G293</f>
        <v>845736498</v>
      </c>
      <c r="H292" s="48">
        <f>H293</f>
        <v>549086498</v>
      </c>
      <c r="I292" s="48">
        <f>I293</f>
        <v>4200000</v>
      </c>
      <c r="J292" s="48">
        <f>J293</f>
        <v>553286498</v>
      </c>
      <c r="K292" s="48">
        <f t="shared" ref="K292:P292" si="155">K293</f>
        <v>549086498</v>
      </c>
      <c r="L292" s="48">
        <f t="shared" si="155"/>
        <v>4200000</v>
      </c>
      <c r="M292" s="48">
        <f t="shared" si="155"/>
        <v>292450000</v>
      </c>
      <c r="N292" s="48">
        <f t="shared" si="155"/>
        <v>0</v>
      </c>
      <c r="O292" s="48">
        <f t="shared" si="155"/>
        <v>0</v>
      </c>
      <c r="P292" s="48">
        <f t="shared" si="155"/>
        <v>0</v>
      </c>
      <c r="Q292" s="48">
        <f>Q293</f>
        <v>0</v>
      </c>
    </row>
    <row r="293" spans="1:17" ht="52" x14ac:dyDescent="0.35">
      <c r="A293" s="87" t="s">
        <v>269</v>
      </c>
      <c r="B293" s="88" t="s">
        <v>270</v>
      </c>
      <c r="C293" s="52">
        <f>C294+C299+C304</f>
        <v>705236498</v>
      </c>
      <c r="D293" s="52">
        <f>D294+D299+D304</f>
        <v>0</v>
      </c>
      <c r="E293" s="53">
        <f>E294+E299+E304</f>
        <v>0</v>
      </c>
      <c r="F293" s="54" t="s">
        <v>271</v>
      </c>
      <c r="G293" s="52">
        <f>J293+M293+N293+Q293</f>
        <v>845736498</v>
      </c>
      <c r="H293" s="52">
        <f>K293+O293</f>
        <v>549086498</v>
      </c>
      <c r="I293" s="52">
        <f>L293+P293</f>
        <v>4200000</v>
      </c>
      <c r="J293" s="52">
        <f>J294+J299+J304</f>
        <v>553286498</v>
      </c>
      <c r="K293" s="52">
        <f t="shared" ref="K293:Q293" si="156">K294+K299+K304</f>
        <v>549086498</v>
      </c>
      <c r="L293" s="52">
        <f t="shared" si="156"/>
        <v>4200000</v>
      </c>
      <c r="M293" s="52">
        <f t="shared" si="156"/>
        <v>292450000</v>
      </c>
      <c r="N293" s="52">
        <f t="shared" si="156"/>
        <v>0</v>
      </c>
      <c r="O293" s="52">
        <f t="shared" si="156"/>
        <v>0</v>
      </c>
      <c r="P293" s="52">
        <f t="shared" si="156"/>
        <v>0</v>
      </c>
      <c r="Q293" s="52">
        <f t="shared" si="156"/>
        <v>0</v>
      </c>
    </row>
    <row r="294" spans="1:17" ht="28" customHeight="1" x14ac:dyDescent="0.35">
      <c r="A294" s="252" t="s">
        <v>272</v>
      </c>
      <c r="B294" s="251" t="s">
        <v>273</v>
      </c>
      <c r="C294" s="56">
        <f>C295</f>
        <v>294644304</v>
      </c>
      <c r="D294" s="57">
        <f>D295</f>
        <v>0</v>
      </c>
      <c r="E294" s="58">
        <f>E295</f>
        <v>0</v>
      </c>
      <c r="F294" s="59" t="s">
        <v>274</v>
      </c>
      <c r="G294" s="58">
        <f t="shared" ref="G294:G308" si="157">J294+M294+N294+Q294</f>
        <v>435144304</v>
      </c>
      <c r="H294" s="58">
        <f t="shared" ref="H294:I308" si="158">K294+O294</f>
        <v>435144304</v>
      </c>
      <c r="I294" s="58">
        <f t="shared" si="158"/>
        <v>0</v>
      </c>
      <c r="J294" s="58">
        <f>J295</f>
        <v>435144304</v>
      </c>
      <c r="K294" s="58">
        <f t="shared" ref="K294:Q294" si="159">K295</f>
        <v>435144304</v>
      </c>
      <c r="L294" s="58">
        <f t="shared" si="159"/>
        <v>0</v>
      </c>
      <c r="M294" s="58">
        <f t="shared" si="159"/>
        <v>0</v>
      </c>
      <c r="N294" s="58">
        <f t="shared" si="159"/>
        <v>0</v>
      </c>
      <c r="O294" s="58">
        <f t="shared" si="159"/>
        <v>0</v>
      </c>
      <c r="P294" s="58">
        <f t="shared" si="159"/>
        <v>0</v>
      </c>
      <c r="Q294" s="58">
        <f t="shared" si="159"/>
        <v>0</v>
      </c>
    </row>
    <row r="295" spans="1:17" ht="28" customHeight="1" x14ac:dyDescent="0.35">
      <c r="A295" s="252"/>
      <c r="B295" s="251"/>
      <c r="C295" s="69">
        <f>G297+G298</f>
        <v>294644304</v>
      </c>
      <c r="D295" s="60">
        <v>0</v>
      </c>
      <c r="E295" s="60">
        <v>0</v>
      </c>
      <c r="F295" s="61" t="s">
        <v>115</v>
      </c>
      <c r="G295" s="60">
        <f t="shared" si="157"/>
        <v>435144304</v>
      </c>
      <c r="H295" s="60">
        <f t="shared" si="158"/>
        <v>435144304</v>
      </c>
      <c r="I295" s="60">
        <f t="shared" si="158"/>
        <v>0</v>
      </c>
      <c r="J295" s="60">
        <f>J296+J297+J298</f>
        <v>435144304</v>
      </c>
      <c r="K295" s="60">
        <f t="shared" ref="K295:Q295" si="160">K296+K297+K298</f>
        <v>435144304</v>
      </c>
      <c r="L295" s="60">
        <f t="shared" si="160"/>
        <v>0</v>
      </c>
      <c r="M295" s="60">
        <f t="shared" si="160"/>
        <v>0</v>
      </c>
      <c r="N295" s="60">
        <f t="shared" si="160"/>
        <v>0</v>
      </c>
      <c r="O295" s="60">
        <f t="shared" si="160"/>
        <v>0</v>
      </c>
      <c r="P295" s="60">
        <f t="shared" si="160"/>
        <v>0</v>
      </c>
      <c r="Q295" s="60">
        <f t="shared" si="160"/>
        <v>0</v>
      </c>
    </row>
    <row r="296" spans="1:17" ht="28" customHeight="1" x14ac:dyDescent="0.35">
      <c r="A296" s="252"/>
      <c r="B296" s="251"/>
      <c r="C296" s="78"/>
      <c r="D296" s="78"/>
      <c r="E296" s="73"/>
      <c r="F296" s="66" t="s">
        <v>116</v>
      </c>
      <c r="G296" s="67">
        <f t="shared" si="157"/>
        <v>140500000</v>
      </c>
      <c r="H296" s="67">
        <f t="shared" si="158"/>
        <v>140500000</v>
      </c>
      <c r="I296" s="67">
        <f t="shared" si="158"/>
        <v>0</v>
      </c>
      <c r="J296" s="67">
        <f>K296+L296</f>
        <v>140500000</v>
      </c>
      <c r="K296" s="67">
        <v>140500000</v>
      </c>
      <c r="L296" s="67">
        <v>0</v>
      </c>
      <c r="M296" s="68">
        <v>0</v>
      </c>
      <c r="N296" s="67">
        <f>O296+P296</f>
        <v>0</v>
      </c>
      <c r="O296" s="67">
        <v>0</v>
      </c>
      <c r="P296" s="67">
        <v>0</v>
      </c>
      <c r="Q296" s="67">
        <v>0</v>
      </c>
    </row>
    <row r="297" spans="1:17" ht="28" customHeight="1" x14ac:dyDescent="0.35">
      <c r="A297" s="252"/>
      <c r="B297" s="251"/>
      <c r="C297" s="78"/>
      <c r="D297" s="78"/>
      <c r="E297" s="73"/>
      <c r="F297" s="66" t="s">
        <v>275</v>
      </c>
      <c r="G297" s="71">
        <f t="shared" si="157"/>
        <v>140739365</v>
      </c>
      <c r="H297" s="71">
        <f t="shared" si="158"/>
        <v>140739365</v>
      </c>
      <c r="I297" s="71">
        <f t="shared" si="158"/>
        <v>0</v>
      </c>
      <c r="J297" s="71">
        <f>K297+L297</f>
        <v>140739365</v>
      </c>
      <c r="K297" s="71">
        <f>160000000-10942451-7326237-991947</f>
        <v>140739365</v>
      </c>
      <c r="L297" s="71">
        <v>0</v>
      </c>
      <c r="M297" s="71">
        <v>0</v>
      </c>
      <c r="N297" s="71">
        <f>O297+P297</f>
        <v>0</v>
      </c>
      <c r="O297" s="71">
        <v>0</v>
      </c>
      <c r="P297" s="71">
        <v>0</v>
      </c>
      <c r="Q297" s="71">
        <v>0</v>
      </c>
    </row>
    <row r="298" spans="1:17" ht="28" customHeight="1" x14ac:dyDescent="0.35">
      <c r="A298" s="252"/>
      <c r="B298" s="251"/>
      <c r="C298" s="78"/>
      <c r="D298" s="78"/>
      <c r="E298" s="73"/>
      <c r="F298" s="66" t="s">
        <v>276</v>
      </c>
      <c r="G298" s="71">
        <f t="shared" si="157"/>
        <v>153904939</v>
      </c>
      <c r="H298" s="71">
        <f t="shared" si="158"/>
        <v>153904939</v>
      </c>
      <c r="I298" s="71">
        <f t="shared" si="158"/>
        <v>0</v>
      </c>
      <c r="J298" s="71">
        <f>K298+L298</f>
        <v>153904939</v>
      </c>
      <c r="K298" s="71">
        <f>190000000+111249-22571406-13784904+150000</f>
        <v>153904939</v>
      </c>
      <c r="L298" s="71">
        <v>0</v>
      </c>
      <c r="M298" s="71">
        <v>0</v>
      </c>
      <c r="N298" s="71">
        <f>O298+P298</f>
        <v>0</v>
      </c>
      <c r="O298" s="71">
        <v>0</v>
      </c>
      <c r="P298" s="71">
        <v>0</v>
      </c>
      <c r="Q298" s="71">
        <v>0</v>
      </c>
    </row>
    <row r="299" spans="1:17" ht="28" customHeight="1" x14ac:dyDescent="0.35">
      <c r="A299" s="262" t="s">
        <v>277</v>
      </c>
      <c r="B299" s="251" t="s">
        <v>278</v>
      </c>
      <c r="C299" s="56">
        <f>C300</f>
        <v>118142194</v>
      </c>
      <c r="D299" s="57">
        <f>D300</f>
        <v>0</v>
      </c>
      <c r="E299" s="58">
        <f>E300</f>
        <v>0</v>
      </c>
      <c r="F299" s="59" t="s">
        <v>279</v>
      </c>
      <c r="G299" s="58">
        <f t="shared" si="157"/>
        <v>118142194</v>
      </c>
      <c r="H299" s="58">
        <f t="shared" si="158"/>
        <v>113942194</v>
      </c>
      <c r="I299" s="58">
        <f t="shared" si="158"/>
        <v>4200000</v>
      </c>
      <c r="J299" s="58">
        <f t="shared" ref="J299:Q299" si="161">J300</f>
        <v>118142194</v>
      </c>
      <c r="K299" s="58">
        <f t="shared" si="161"/>
        <v>113942194</v>
      </c>
      <c r="L299" s="58">
        <f t="shared" si="161"/>
        <v>4200000</v>
      </c>
      <c r="M299" s="58">
        <f t="shared" si="161"/>
        <v>0</v>
      </c>
      <c r="N299" s="58">
        <f t="shared" si="161"/>
        <v>0</v>
      </c>
      <c r="O299" s="58">
        <f t="shared" si="161"/>
        <v>0</v>
      </c>
      <c r="P299" s="58">
        <f t="shared" si="161"/>
        <v>0</v>
      </c>
      <c r="Q299" s="58">
        <f t="shared" si="161"/>
        <v>0</v>
      </c>
    </row>
    <row r="300" spans="1:17" ht="28" customHeight="1" x14ac:dyDescent="0.35">
      <c r="A300" s="262"/>
      <c r="B300" s="251"/>
      <c r="C300" s="69">
        <f>G302+G303</f>
        <v>118142194</v>
      </c>
      <c r="D300" s="60">
        <v>0</v>
      </c>
      <c r="E300" s="60">
        <v>0</v>
      </c>
      <c r="F300" s="61" t="s">
        <v>36</v>
      </c>
      <c r="G300" s="60">
        <f t="shared" si="157"/>
        <v>118142194</v>
      </c>
      <c r="H300" s="60">
        <f t="shared" si="158"/>
        <v>113942194</v>
      </c>
      <c r="I300" s="60">
        <f t="shared" si="158"/>
        <v>4200000</v>
      </c>
      <c r="J300" s="60">
        <f t="shared" ref="J300:Q300" si="162">J301+J302+J303</f>
        <v>118142194</v>
      </c>
      <c r="K300" s="60">
        <f t="shared" si="162"/>
        <v>113942194</v>
      </c>
      <c r="L300" s="60">
        <f t="shared" si="162"/>
        <v>4200000</v>
      </c>
      <c r="M300" s="60">
        <f t="shared" si="162"/>
        <v>0</v>
      </c>
      <c r="N300" s="60">
        <f t="shared" si="162"/>
        <v>0</v>
      </c>
      <c r="O300" s="60">
        <f t="shared" si="162"/>
        <v>0</v>
      </c>
      <c r="P300" s="60">
        <f t="shared" si="162"/>
        <v>0</v>
      </c>
      <c r="Q300" s="60">
        <f t="shared" si="162"/>
        <v>0</v>
      </c>
    </row>
    <row r="301" spans="1:17" ht="28" customHeight="1" x14ac:dyDescent="0.35">
      <c r="A301" s="262"/>
      <c r="B301" s="251"/>
      <c r="C301" s="78"/>
      <c r="D301" s="78"/>
      <c r="E301" s="73"/>
      <c r="F301" s="66" t="s">
        <v>37</v>
      </c>
      <c r="G301" s="67">
        <f t="shared" si="157"/>
        <v>0</v>
      </c>
      <c r="H301" s="67">
        <f t="shared" si="158"/>
        <v>0</v>
      </c>
      <c r="I301" s="67">
        <f t="shared" si="158"/>
        <v>0</v>
      </c>
      <c r="J301" s="67">
        <f>K301+L301</f>
        <v>0</v>
      </c>
      <c r="K301" s="67">
        <v>0</v>
      </c>
      <c r="L301" s="67">
        <v>0</v>
      </c>
      <c r="M301" s="68">
        <v>0</v>
      </c>
      <c r="N301" s="67">
        <f>O301+P301</f>
        <v>0</v>
      </c>
      <c r="O301" s="67">
        <v>0</v>
      </c>
      <c r="P301" s="67">
        <v>0</v>
      </c>
      <c r="Q301" s="67">
        <v>0</v>
      </c>
    </row>
    <row r="302" spans="1:17" ht="28" customHeight="1" x14ac:dyDescent="0.35">
      <c r="A302" s="262"/>
      <c r="B302" s="251"/>
      <c r="C302" s="78"/>
      <c r="D302" s="78"/>
      <c r="E302" s="73"/>
      <c r="F302" s="66" t="s">
        <v>38</v>
      </c>
      <c r="G302" s="71">
        <f t="shared" si="157"/>
        <v>78881367</v>
      </c>
      <c r="H302" s="71">
        <f t="shared" si="158"/>
        <v>74681367</v>
      </c>
      <c r="I302" s="71">
        <f t="shared" si="158"/>
        <v>4200000</v>
      </c>
      <c r="J302" s="71">
        <f>K302+L302</f>
        <v>78881367</v>
      </c>
      <c r="K302" s="71">
        <f>64000000+6112690-427211+4995888</f>
        <v>74681367</v>
      </c>
      <c r="L302" s="71">
        <f>6000000-1800000</f>
        <v>4200000</v>
      </c>
      <c r="M302" s="71">
        <v>0</v>
      </c>
      <c r="N302" s="71">
        <f>O302+P302</f>
        <v>0</v>
      </c>
      <c r="O302" s="71">
        <v>0</v>
      </c>
      <c r="P302" s="71">
        <v>0</v>
      </c>
      <c r="Q302" s="71">
        <v>0</v>
      </c>
    </row>
    <row r="303" spans="1:17" ht="28" customHeight="1" x14ac:dyDescent="0.35">
      <c r="A303" s="262"/>
      <c r="B303" s="251"/>
      <c r="C303" s="78"/>
      <c r="D303" s="78"/>
      <c r="E303" s="73"/>
      <c r="F303" s="66" t="s">
        <v>39</v>
      </c>
      <c r="G303" s="71">
        <f t="shared" si="157"/>
        <v>39260827</v>
      </c>
      <c r="H303" s="71">
        <f t="shared" si="158"/>
        <v>39260827</v>
      </c>
      <c r="I303" s="71">
        <f t="shared" si="158"/>
        <v>0</v>
      </c>
      <c r="J303" s="71">
        <f>K303+L303</f>
        <v>39260827</v>
      </c>
      <c r="K303" s="71">
        <f>30000000+500000+8431777-893414-1460036+2682500</f>
        <v>39260827</v>
      </c>
      <c r="L303" s="71">
        <v>0</v>
      </c>
      <c r="M303" s="71">
        <v>0</v>
      </c>
      <c r="N303" s="71">
        <f>O303+P303</f>
        <v>0</v>
      </c>
      <c r="O303" s="71">
        <v>0</v>
      </c>
      <c r="P303" s="71">
        <v>0</v>
      </c>
      <c r="Q303" s="71">
        <v>0</v>
      </c>
    </row>
    <row r="304" spans="1:17" ht="28" customHeight="1" x14ac:dyDescent="0.35">
      <c r="A304" s="252" t="s">
        <v>280</v>
      </c>
      <c r="B304" s="251" t="s">
        <v>281</v>
      </c>
      <c r="C304" s="56">
        <f>C305</f>
        <v>292450000</v>
      </c>
      <c r="D304" s="57">
        <f>D305</f>
        <v>0</v>
      </c>
      <c r="E304" s="58">
        <f>E305</f>
        <v>0</v>
      </c>
      <c r="F304" s="59" t="s">
        <v>282</v>
      </c>
      <c r="G304" s="58">
        <f t="shared" si="157"/>
        <v>292450000</v>
      </c>
      <c r="H304" s="58">
        <f t="shared" si="158"/>
        <v>0</v>
      </c>
      <c r="I304" s="58">
        <f t="shared" si="158"/>
        <v>0</v>
      </c>
      <c r="J304" s="58">
        <f>J305</f>
        <v>0</v>
      </c>
      <c r="K304" s="58">
        <f t="shared" ref="K304:Q304" si="163">K305</f>
        <v>0</v>
      </c>
      <c r="L304" s="58">
        <f t="shared" si="163"/>
        <v>0</v>
      </c>
      <c r="M304" s="58">
        <f t="shared" si="163"/>
        <v>292450000</v>
      </c>
      <c r="N304" s="58">
        <f t="shared" si="163"/>
        <v>0</v>
      </c>
      <c r="O304" s="58">
        <f t="shared" si="163"/>
        <v>0</v>
      </c>
      <c r="P304" s="58">
        <f t="shared" si="163"/>
        <v>0</v>
      </c>
      <c r="Q304" s="58">
        <f t="shared" si="163"/>
        <v>0</v>
      </c>
    </row>
    <row r="305" spans="1:17" ht="28" customHeight="1" x14ac:dyDescent="0.35">
      <c r="A305" s="252"/>
      <c r="B305" s="251"/>
      <c r="C305" s="69">
        <f>G307+G308</f>
        <v>292450000</v>
      </c>
      <c r="D305" s="60">
        <v>0</v>
      </c>
      <c r="E305" s="60">
        <v>0</v>
      </c>
      <c r="F305" s="61" t="s">
        <v>115</v>
      </c>
      <c r="G305" s="60">
        <f t="shared" si="157"/>
        <v>292450000</v>
      </c>
      <c r="H305" s="60">
        <f t="shared" si="158"/>
        <v>0</v>
      </c>
      <c r="I305" s="60">
        <f t="shared" si="158"/>
        <v>0</v>
      </c>
      <c r="J305" s="60">
        <f>J306+J307+J308</f>
        <v>0</v>
      </c>
      <c r="K305" s="60">
        <f t="shared" ref="K305:Q305" si="164">K306+K307+K308</f>
        <v>0</v>
      </c>
      <c r="L305" s="60">
        <f t="shared" si="164"/>
        <v>0</v>
      </c>
      <c r="M305" s="60">
        <f t="shared" si="164"/>
        <v>292450000</v>
      </c>
      <c r="N305" s="60">
        <f t="shared" si="164"/>
        <v>0</v>
      </c>
      <c r="O305" s="60">
        <f t="shared" si="164"/>
        <v>0</v>
      </c>
      <c r="P305" s="60">
        <f t="shared" si="164"/>
        <v>0</v>
      </c>
      <c r="Q305" s="60">
        <f t="shared" si="164"/>
        <v>0</v>
      </c>
    </row>
    <row r="306" spans="1:17" ht="28" customHeight="1" x14ac:dyDescent="0.35">
      <c r="A306" s="252"/>
      <c r="B306" s="251"/>
      <c r="C306" s="78"/>
      <c r="D306" s="78"/>
      <c r="E306" s="73"/>
      <c r="F306" s="66" t="s">
        <v>116</v>
      </c>
      <c r="G306" s="67">
        <f t="shared" si="157"/>
        <v>0</v>
      </c>
      <c r="H306" s="67">
        <f t="shared" si="158"/>
        <v>0</v>
      </c>
      <c r="I306" s="67">
        <f t="shared" si="158"/>
        <v>0</v>
      </c>
      <c r="J306" s="67">
        <f>K306+L306</f>
        <v>0</v>
      </c>
      <c r="K306" s="67">
        <v>0</v>
      </c>
      <c r="L306" s="67">
        <v>0</v>
      </c>
      <c r="M306" s="68">
        <v>0</v>
      </c>
      <c r="N306" s="67">
        <f>O306+P306</f>
        <v>0</v>
      </c>
      <c r="O306" s="67">
        <v>0</v>
      </c>
      <c r="P306" s="67">
        <v>0</v>
      </c>
      <c r="Q306" s="67">
        <v>0</v>
      </c>
    </row>
    <row r="307" spans="1:17" ht="28" customHeight="1" x14ac:dyDescent="0.35">
      <c r="A307" s="252"/>
      <c r="B307" s="251"/>
      <c r="C307" s="78"/>
      <c r="D307" s="78"/>
      <c r="E307" s="73"/>
      <c r="F307" s="66" t="s">
        <v>275</v>
      </c>
      <c r="G307" s="71">
        <f t="shared" si="157"/>
        <v>63559000</v>
      </c>
      <c r="H307" s="71">
        <f t="shared" si="158"/>
        <v>0</v>
      </c>
      <c r="I307" s="71">
        <f t="shared" si="158"/>
        <v>0</v>
      </c>
      <c r="J307" s="71">
        <f>K307+L307</f>
        <v>0</v>
      </c>
      <c r="K307" s="71">
        <v>0</v>
      </c>
      <c r="L307" s="71">
        <v>0</v>
      </c>
      <c r="M307" s="71">
        <f>71209000-7650000</f>
        <v>63559000</v>
      </c>
      <c r="N307" s="71">
        <f>O307+P307</f>
        <v>0</v>
      </c>
      <c r="O307" s="71">
        <v>0</v>
      </c>
      <c r="P307" s="71">
        <v>0</v>
      </c>
      <c r="Q307" s="71">
        <v>0</v>
      </c>
    </row>
    <row r="308" spans="1:17" ht="28" customHeight="1" x14ac:dyDescent="0.35">
      <c r="A308" s="252"/>
      <c r="B308" s="251"/>
      <c r="C308" s="78"/>
      <c r="D308" s="78"/>
      <c r="E308" s="73"/>
      <c r="F308" s="66" t="s">
        <v>276</v>
      </c>
      <c r="G308" s="71">
        <f t="shared" si="157"/>
        <v>228891000</v>
      </c>
      <c r="H308" s="71">
        <f t="shared" si="158"/>
        <v>0</v>
      </c>
      <c r="I308" s="71">
        <f t="shared" si="158"/>
        <v>0</v>
      </c>
      <c r="J308" s="71">
        <f>K308+L308</f>
        <v>0</v>
      </c>
      <c r="K308" s="71">
        <v>0</v>
      </c>
      <c r="L308" s="71">
        <v>0</v>
      </c>
      <c r="M308" s="71">
        <v>228891000</v>
      </c>
      <c r="N308" s="71">
        <f>O308+P308</f>
        <v>0</v>
      </c>
      <c r="O308" s="71">
        <v>0</v>
      </c>
      <c r="P308" s="71">
        <v>0</v>
      </c>
      <c r="Q308" s="71">
        <v>0</v>
      </c>
    </row>
    <row r="309" spans="1:17" ht="28" customHeight="1" x14ac:dyDescent="0.35">
      <c r="A309" s="45" t="s">
        <v>757</v>
      </c>
      <c r="B309" s="46" t="s">
        <v>786</v>
      </c>
      <c r="C309" s="47">
        <f>C310</f>
        <v>2765237</v>
      </c>
      <c r="D309" s="47">
        <f>D310</f>
        <v>0</v>
      </c>
      <c r="E309" s="48">
        <f>E310</f>
        <v>0</v>
      </c>
      <c r="F309" s="49"/>
      <c r="G309" s="48">
        <f>G310</f>
        <v>62765237</v>
      </c>
      <c r="H309" s="48">
        <f>H310</f>
        <v>2765237</v>
      </c>
      <c r="I309" s="48">
        <f>I310</f>
        <v>0</v>
      </c>
      <c r="J309" s="48">
        <f>J310</f>
        <v>2765237</v>
      </c>
      <c r="K309" s="48">
        <f t="shared" ref="K309:Q309" si="165">K310</f>
        <v>2765237</v>
      </c>
      <c r="L309" s="48">
        <f t="shared" si="165"/>
        <v>0</v>
      </c>
      <c r="M309" s="48">
        <f t="shared" si="165"/>
        <v>60000000</v>
      </c>
      <c r="N309" s="48">
        <f t="shared" si="165"/>
        <v>0</v>
      </c>
      <c r="O309" s="48">
        <f t="shared" si="165"/>
        <v>0</v>
      </c>
      <c r="P309" s="48">
        <f t="shared" si="165"/>
        <v>0</v>
      </c>
      <c r="Q309" s="48">
        <f t="shared" si="165"/>
        <v>0</v>
      </c>
    </row>
    <row r="310" spans="1:17" ht="28.5" customHeight="1" x14ac:dyDescent="0.35">
      <c r="A310" s="228" t="s">
        <v>180</v>
      </c>
      <c r="B310" s="231" t="s">
        <v>810</v>
      </c>
      <c r="C310" s="52">
        <f>C311+C313</f>
        <v>2765237</v>
      </c>
      <c r="D310" s="52">
        <f t="shared" ref="D310:E310" si="166">D311+D313</f>
        <v>0</v>
      </c>
      <c r="E310" s="52">
        <f t="shared" si="166"/>
        <v>0</v>
      </c>
      <c r="F310" s="54" t="s">
        <v>182</v>
      </c>
      <c r="G310" s="52">
        <f>J310+M310+N310+Q310</f>
        <v>62765237</v>
      </c>
      <c r="H310" s="52">
        <f>K310+O310</f>
        <v>2765237</v>
      </c>
      <c r="I310" s="52">
        <f>L310+P310</f>
        <v>0</v>
      </c>
      <c r="J310" s="52">
        <f>J311+J313</f>
        <v>2765237</v>
      </c>
      <c r="K310" s="52">
        <f>K311+K313</f>
        <v>2765237</v>
      </c>
      <c r="L310" s="52">
        <f t="shared" ref="L310:Q310" si="167">L311+L313</f>
        <v>0</v>
      </c>
      <c r="M310" s="52">
        <f t="shared" si="167"/>
        <v>60000000</v>
      </c>
      <c r="N310" s="52">
        <f t="shared" si="167"/>
        <v>0</v>
      </c>
      <c r="O310" s="52">
        <f t="shared" si="167"/>
        <v>0</v>
      </c>
      <c r="P310" s="52">
        <f t="shared" si="167"/>
        <v>0</v>
      </c>
      <c r="Q310" s="52">
        <f t="shared" si="167"/>
        <v>0</v>
      </c>
    </row>
    <row r="311" spans="1:17" ht="28" customHeight="1" x14ac:dyDescent="0.35">
      <c r="A311" s="229"/>
      <c r="B311" s="232"/>
      <c r="C311" s="60">
        <v>0</v>
      </c>
      <c r="D311" s="60">
        <v>0</v>
      </c>
      <c r="E311" s="60">
        <v>0</v>
      </c>
      <c r="F311" s="61" t="s">
        <v>150</v>
      </c>
      <c r="G311" s="60">
        <f t="shared" ref="G311:G315" si="168">J311+M311+N311+Q311</f>
        <v>60000000</v>
      </c>
      <c r="H311" s="60">
        <f t="shared" ref="H311:I315" si="169">K311+O311</f>
        <v>0</v>
      </c>
      <c r="I311" s="60">
        <f t="shared" si="169"/>
        <v>0</v>
      </c>
      <c r="J311" s="60">
        <f>J312</f>
        <v>0</v>
      </c>
      <c r="K311" s="60">
        <f t="shared" ref="K311:Q311" si="170">K312</f>
        <v>0</v>
      </c>
      <c r="L311" s="60">
        <f t="shared" si="170"/>
        <v>0</v>
      </c>
      <c r="M311" s="60">
        <f t="shared" si="170"/>
        <v>60000000</v>
      </c>
      <c r="N311" s="60">
        <f t="shared" si="170"/>
        <v>0</v>
      </c>
      <c r="O311" s="60">
        <f t="shared" si="170"/>
        <v>0</v>
      </c>
      <c r="P311" s="60">
        <f t="shared" si="170"/>
        <v>0</v>
      </c>
      <c r="Q311" s="60">
        <f t="shared" si="170"/>
        <v>0</v>
      </c>
    </row>
    <row r="312" spans="1:17" ht="28" customHeight="1" x14ac:dyDescent="0.35">
      <c r="A312" s="229"/>
      <c r="B312" s="232"/>
      <c r="C312" s="199"/>
      <c r="D312" s="200"/>
      <c r="E312" s="200"/>
      <c r="F312" s="66" t="s">
        <v>151</v>
      </c>
      <c r="G312" s="67">
        <f t="shared" si="168"/>
        <v>60000000</v>
      </c>
      <c r="H312" s="67">
        <f t="shared" si="169"/>
        <v>0</v>
      </c>
      <c r="I312" s="67">
        <f t="shared" si="169"/>
        <v>0</v>
      </c>
      <c r="J312" s="67">
        <f>K312+L312</f>
        <v>0</v>
      </c>
      <c r="K312" s="67">
        <v>0</v>
      </c>
      <c r="L312" s="67">
        <v>0</v>
      </c>
      <c r="M312" s="67">
        <f>21503400+10100000+28396600</f>
        <v>60000000</v>
      </c>
      <c r="N312" s="68">
        <f>O312+P312</f>
        <v>0</v>
      </c>
      <c r="O312" s="68">
        <v>0</v>
      </c>
      <c r="P312" s="68">
        <v>0</v>
      </c>
      <c r="Q312" s="68">
        <v>0</v>
      </c>
    </row>
    <row r="313" spans="1:17" ht="28" customHeight="1" x14ac:dyDescent="0.35">
      <c r="A313" s="229"/>
      <c r="B313" s="232"/>
      <c r="C313" s="69">
        <f>G314+G315</f>
        <v>2765237</v>
      </c>
      <c r="D313" s="60">
        <v>0</v>
      </c>
      <c r="E313" s="60">
        <v>0</v>
      </c>
      <c r="F313" s="61" t="s">
        <v>36</v>
      </c>
      <c r="G313" s="60">
        <f t="shared" si="168"/>
        <v>2765237</v>
      </c>
      <c r="H313" s="60">
        <f t="shared" si="169"/>
        <v>2765237</v>
      </c>
      <c r="I313" s="60">
        <f t="shared" si="169"/>
        <v>0</v>
      </c>
      <c r="J313" s="60">
        <f>J314+J315</f>
        <v>2765237</v>
      </c>
      <c r="K313" s="60">
        <f t="shared" ref="K313:Q313" si="171">K314+K315</f>
        <v>2765237</v>
      </c>
      <c r="L313" s="60">
        <f t="shared" si="171"/>
        <v>0</v>
      </c>
      <c r="M313" s="60">
        <f t="shared" si="171"/>
        <v>0</v>
      </c>
      <c r="N313" s="60">
        <f t="shared" si="171"/>
        <v>0</v>
      </c>
      <c r="O313" s="60">
        <f t="shared" si="171"/>
        <v>0</v>
      </c>
      <c r="P313" s="60">
        <f t="shared" si="171"/>
        <v>0</v>
      </c>
      <c r="Q313" s="60">
        <f t="shared" si="171"/>
        <v>0</v>
      </c>
    </row>
    <row r="314" spans="1:17" ht="28" customHeight="1" x14ac:dyDescent="0.35">
      <c r="A314" s="229"/>
      <c r="B314" s="232"/>
      <c r="C314" s="199"/>
      <c r="D314" s="200"/>
      <c r="E314" s="200"/>
      <c r="F314" s="66" t="s">
        <v>38</v>
      </c>
      <c r="G314" s="71">
        <f t="shared" si="168"/>
        <v>1540237</v>
      </c>
      <c r="H314" s="71">
        <f t="shared" si="169"/>
        <v>1540237</v>
      </c>
      <c r="I314" s="71">
        <f t="shared" si="169"/>
        <v>0</v>
      </c>
      <c r="J314" s="71">
        <f>K314+L314</f>
        <v>1540237</v>
      </c>
      <c r="K314" s="71">
        <f>1540237</f>
        <v>1540237</v>
      </c>
      <c r="L314" s="71">
        <v>0</v>
      </c>
      <c r="M314" s="71">
        <v>0</v>
      </c>
      <c r="N314" s="71">
        <f>O314+P314</f>
        <v>0</v>
      </c>
      <c r="O314" s="71">
        <v>0</v>
      </c>
      <c r="P314" s="71">
        <v>0</v>
      </c>
      <c r="Q314" s="71">
        <v>0</v>
      </c>
    </row>
    <row r="315" spans="1:17" ht="28" customHeight="1" x14ac:dyDescent="0.35">
      <c r="A315" s="230"/>
      <c r="B315" s="233"/>
      <c r="C315" s="199"/>
      <c r="D315" s="200"/>
      <c r="E315" s="200"/>
      <c r="F315" s="66" t="s">
        <v>39</v>
      </c>
      <c r="G315" s="71">
        <f t="shared" si="168"/>
        <v>1225000</v>
      </c>
      <c r="H315" s="71">
        <f t="shared" si="169"/>
        <v>1225000</v>
      </c>
      <c r="I315" s="71">
        <f t="shared" si="169"/>
        <v>0</v>
      </c>
      <c r="J315" s="71">
        <f>K315+L315</f>
        <v>1225000</v>
      </c>
      <c r="K315" s="71">
        <f>1225000</f>
        <v>1225000</v>
      </c>
      <c r="L315" s="71">
        <v>0</v>
      </c>
      <c r="M315" s="71">
        <v>0</v>
      </c>
      <c r="N315" s="71">
        <f>O315+P315</f>
        <v>0</v>
      </c>
      <c r="O315" s="71">
        <v>0</v>
      </c>
      <c r="P315" s="71">
        <v>0</v>
      </c>
      <c r="Q315" s="71">
        <v>0</v>
      </c>
    </row>
    <row r="316" spans="1:17" ht="28.5" x14ac:dyDescent="0.35">
      <c r="A316" s="45" t="s">
        <v>759</v>
      </c>
      <c r="B316" s="46" t="s">
        <v>787</v>
      </c>
      <c r="C316" s="47">
        <f>C317</f>
        <v>7650000</v>
      </c>
      <c r="D316" s="47">
        <f>D317</f>
        <v>0</v>
      </c>
      <c r="E316" s="48">
        <f>E317</f>
        <v>0</v>
      </c>
      <c r="F316" s="49"/>
      <c r="G316" s="48">
        <f>G317</f>
        <v>31650000</v>
      </c>
      <c r="H316" s="48">
        <f>H317</f>
        <v>21000000</v>
      </c>
      <c r="I316" s="48">
        <f>I317</f>
        <v>3000000</v>
      </c>
      <c r="J316" s="48">
        <f>J317</f>
        <v>24000000</v>
      </c>
      <c r="K316" s="48">
        <f t="shared" ref="K316:P316" si="172">K317</f>
        <v>21000000</v>
      </c>
      <c r="L316" s="48">
        <f t="shared" si="172"/>
        <v>3000000</v>
      </c>
      <c r="M316" s="48">
        <f t="shared" si="172"/>
        <v>7650000</v>
      </c>
      <c r="N316" s="48">
        <f t="shared" si="172"/>
        <v>0</v>
      </c>
      <c r="O316" s="48">
        <f t="shared" si="172"/>
        <v>0</v>
      </c>
      <c r="P316" s="48">
        <f t="shared" si="172"/>
        <v>0</v>
      </c>
      <c r="Q316" s="48">
        <f>Q317</f>
        <v>0</v>
      </c>
    </row>
    <row r="317" spans="1:17" ht="28.5" x14ac:dyDescent="0.35">
      <c r="A317" s="228" t="s">
        <v>761</v>
      </c>
      <c r="B317" s="231" t="s">
        <v>770</v>
      </c>
      <c r="C317" s="53">
        <f>C318+C320</f>
        <v>7650000</v>
      </c>
      <c r="D317" s="53">
        <f t="shared" ref="D317:E317" si="173">D318+D320</f>
        <v>0</v>
      </c>
      <c r="E317" s="53">
        <f t="shared" si="173"/>
        <v>0</v>
      </c>
      <c r="F317" s="54" t="s">
        <v>762</v>
      </c>
      <c r="G317" s="52">
        <f>J317+M317+N317+Q317</f>
        <v>31650000</v>
      </c>
      <c r="H317" s="52">
        <f>K317+O317</f>
        <v>21000000</v>
      </c>
      <c r="I317" s="52">
        <f>L317+P317</f>
        <v>3000000</v>
      </c>
      <c r="J317" s="52">
        <f>J318+J320</f>
        <v>24000000</v>
      </c>
      <c r="K317" s="52">
        <f t="shared" ref="K317:Q317" si="174">K318+K320</f>
        <v>21000000</v>
      </c>
      <c r="L317" s="52">
        <f t="shared" si="174"/>
        <v>3000000</v>
      </c>
      <c r="M317" s="52">
        <f t="shared" si="174"/>
        <v>7650000</v>
      </c>
      <c r="N317" s="52">
        <f t="shared" si="174"/>
        <v>0</v>
      </c>
      <c r="O317" s="52">
        <f t="shared" si="174"/>
        <v>0</v>
      </c>
      <c r="P317" s="52">
        <f t="shared" si="174"/>
        <v>0</v>
      </c>
      <c r="Q317" s="52">
        <f t="shared" si="174"/>
        <v>0</v>
      </c>
    </row>
    <row r="318" spans="1:17" ht="28" customHeight="1" x14ac:dyDescent="0.35">
      <c r="A318" s="229"/>
      <c r="B318" s="232"/>
      <c r="C318" s="60">
        <v>0</v>
      </c>
      <c r="D318" s="60">
        <v>0</v>
      </c>
      <c r="E318" s="60">
        <v>0</v>
      </c>
      <c r="F318" s="61" t="s">
        <v>107</v>
      </c>
      <c r="G318" s="60">
        <f t="shared" ref="G318:G322" si="175">J318+M318+N318+Q318</f>
        <v>24000000</v>
      </c>
      <c r="H318" s="60">
        <f t="shared" ref="H318:I322" si="176">K318+O318</f>
        <v>21000000</v>
      </c>
      <c r="I318" s="60">
        <f t="shared" si="176"/>
        <v>3000000</v>
      </c>
      <c r="J318" s="60">
        <f>J319</f>
        <v>24000000</v>
      </c>
      <c r="K318" s="60">
        <f t="shared" ref="K318:Q318" si="177">K319</f>
        <v>21000000</v>
      </c>
      <c r="L318" s="60">
        <f t="shared" si="177"/>
        <v>3000000</v>
      </c>
      <c r="M318" s="60">
        <f t="shared" si="177"/>
        <v>0</v>
      </c>
      <c r="N318" s="60">
        <f t="shared" si="177"/>
        <v>0</v>
      </c>
      <c r="O318" s="60">
        <f t="shared" si="177"/>
        <v>0</v>
      </c>
      <c r="P318" s="60">
        <f t="shared" si="177"/>
        <v>0</v>
      </c>
      <c r="Q318" s="60">
        <f t="shared" si="177"/>
        <v>0</v>
      </c>
    </row>
    <row r="319" spans="1:17" ht="28" customHeight="1" x14ac:dyDescent="0.35">
      <c r="A319" s="229"/>
      <c r="B319" s="232"/>
      <c r="C319" s="199"/>
      <c r="D319" s="200"/>
      <c r="E319" s="200"/>
      <c r="F319" s="66" t="s">
        <v>108</v>
      </c>
      <c r="G319" s="67">
        <f t="shared" si="175"/>
        <v>24000000</v>
      </c>
      <c r="H319" s="67">
        <f t="shared" si="176"/>
        <v>21000000</v>
      </c>
      <c r="I319" s="67">
        <f t="shared" si="176"/>
        <v>3000000</v>
      </c>
      <c r="J319" s="67">
        <f>K319+L319</f>
        <v>24000000</v>
      </c>
      <c r="K319" s="67">
        <v>21000000</v>
      </c>
      <c r="L319" s="67">
        <v>3000000</v>
      </c>
      <c r="M319" s="68">
        <v>0</v>
      </c>
      <c r="N319" s="67">
        <f>O319+P319</f>
        <v>0</v>
      </c>
      <c r="O319" s="67">
        <v>0</v>
      </c>
      <c r="P319" s="67">
        <v>0</v>
      </c>
      <c r="Q319" s="67">
        <v>0</v>
      </c>
    </row>
    <row r="320" spans="1:17" ht="28" customHeight="1" x14ac:dyDescent="0.35">
      <c r="A320" s="229"/>
      <c r="B320" s="232"/>
      <c r="C320" s="69">
        <f>G321+G322</f>
        <v>7650000</v>
      </c>
      <c r="D320" s="60">
        <v>0</v>
      </c>
      <c r="E320" s="60">
        <v>0</v>
      </c>
      <c r="F320" s="61" t="s">
        <v>115</v>
      </c>
      <c r="G320" s="60">
        <f t="shared" ref="G320" si="178">J320+M320+N320+Q320</f>
        <v>7650000</v>
      </c>
      <c r="H320" s="60">
        <f t="shared" ref="H320" si="179">K320+O320</f>
        <v>0</v>
      </c>
      <c r="I320" s="60">
        <f t="shared" ref="I320" si="180">L320+P320</f>
        <v>0</v>
      </c>
      <c r="J320" s="60">
        <f>J321+J322</f>
        <v>0</v>
      </c>
      <c r="K320" s="60">
        <f t="shared" ref="K320:Q320" si="181">K321+K322</f>
        <v>0</v>
      </c>
      <c r="L320" s="60">
        <f t="shared" si="181"/>
        <v>0</v>
      </c>
      <c r="M320" s="60">
        <f t="shared" si="181"/>
        <v>7650000</v>
      </c>
      <c r="N320" s="60">
        <f t="shared" si="181"/>
        <v>0</v>
      </c>
      <c r="O320" s="60">
        <f t="shared" si="181"/>
        <v>0</v>
      </c>
      <c r="P320" s="60">
        <f t="shared" si="181"/>
        <v>0</v>
      </c>
      <c r="Q320" s="60">
        <f t="shared" si="181"/>
        <v>0</v>
      </c>
    </row>
    <row r="321" spans="1:17" ht="28" customHeight="1" x14ac:dyDescent="0.35">
      <c r="A321" s="229"/>
      <c r="B321" s="232"/>
      <c r="C321" s="199"/>
      <c r="D321" s="200"/>
      <c r="E321" s="200"/>
      <c r="F321" s="66" t="s">
        <v>275</v>
      </c>
      <c r="G321" s="71">
        <f t="shared" si="175"/>
        <v>7650000</v>
      </c>
      <c r="H321" s="71">
        <f t="shared" si="176"/>
        <v>0</v>
      </c>
      <c r="I321" s="71">
        <f t="shared" si="176"/>
        <v>0</v>
      </c>
      <c r="J321" s="71">
        <f>K321+L321</f>
        <v>0</v>
      </c>
      <c r="K321" s="71">
        <v>0</v>
      </c>
      <c r="L321" s="71">
        <v>0</v>
      </c>
      <c r="M321" s="71">
        <v>7650000</v>
      </c>
      <c r="N321" s="71">
        <f>O321+P321</f>
        <v>0</v>
      </c>
      <c r="O321" s="71">
        <v>0</v>
      </c>
      <c r="P321" s="71">
        <v>0</v>
      </c>
      <c r="Q321" s="71">
        <v>0</v>
      </c>
    </row>
    <row r="322" spans="1:17" ht="28" customHeight="1" x14ac:dyDescent="0.35">
      <c r="A322" s="230"/>
      <c r="B322" s="233"/>
      <c r="C322" s="199"/>
      <c r="D322" s="200"/>
      <c r="E322" s="200"/>
      <c r="F322" s="66" t="s">
        <v>276</v>
      </c>
      <c r="G322" s="71">
        <f t="shared" si="175"/>
        <v>0</v>
      </c>
      <c r="H322" s="71">
        <f t="shared" si="176"/>
        <v>0</v>
      </c>
      <c r="I322" s="71">
        <f t="shared" si="176"/>
        <v>0</v>
      </c>
      <c r="J322" s="71">
        <f>K322+L322</f>
        <v>0</v>
      </c>
      <c r="K322" s="71">
        <v>0</v>
      </c>
      <c r="L322" s="71">
        <v>0</v>
      </c>
      <c r="M322" s="71">
        <v>0</v>
      </c>
      <c r="N322" s="71">
        <f>O322+P322</f>
        <v>0</v>
      </c>
      <c r="O322" s="71">
        <v>0</v>
      </c>
      <c r="P322" s="71">
        <v>0</v>
      </c>
      <c r="Q322" s="71">
        <v>0</v>
      </c>
    </row>
    <row r="323" spans="1:17" ht="28" customHeight="1" x14ac:dyDescent="0.35">
      <c r="A323" s="45" t="s">
        <v>791</v>
      </c>
      <c r="B323" s="46" t="s">
        <v>794</v>
      </c>
      <c r="C323" s="47">
        <f>C324</f>
        <v>0</v>
      </c>
      <c r="D323" s="47">
        <f>D324</f>
        <v>0</v>
      </c>
      <c r="E323" s="48">
        <f>E324</f>
        <v>0</v>
      </c>
      <c r="F323" s="49"/>
      <c r="G323" s="48">
        <f>G324</f>
        <v>19500000</v>
      </c>
      <c r="H323" s="48">
        <f>H324</f>
        <v>11303663</v>
      </c>
      <c r="I323" s="48">
        <f>I324</f>
        <v>8196337</v>
      </c>
      <c r="J323" s="48">
        <f>J324</f>
        <v>19500000</v>
      </c>
      <c r="K323" s="48">
        <f t="shared" ref="K323:M325" si="182">K324</f>
        <v>11303663</v>
      </c>
      <c r="L323" s="48">
        <f t="shared" si="182"/>
        <v>8196337</v>
      </c>
      <c r="M323" s="48">
        <f>M324</f>
        <v>0</v>
      </c>
      <c r="N323" s="48">
        <f t="shared" ref="N323:Q325" si="183">N324</f>
        <v>0</v>
      </c>
      <c r="O323" s="48">
        <f t="shared" si="183"/>
        <v>0</v>
      </c>
      <c r="P323" s="48">
        <f t="shared" si="183"/>
        <v>0</v>
      </c>
      <c r="Q323" s="48">
        <f t="shared" si="183"/>
        <v>0</v>
      </c>
    </row>
    <row r="324" spans="1:17" ht="55" customHeight="1" x14ac:dyDescent="0.35">
      <c r="A324" s="228" t="s">
        <v>792</v>
      </c>
      <c r="B324" s="259" t="s">
        <v>809</v>
      </c>
      <c r="C324" s="52">
        <f>C325</f>
        <v>0</v>
      </c>
      <c r="D324" s="52">
        <f t="shared" ref="D324:E324" si="184">D325</f>
        <v>0</v>
      </c>
      <c r="E324" s="52">
        <f t="shared" si="184"/>
        <v>0</v>
      </c>
      <c r="F324" s="54" t="s">
        <v>793</v>
      </c>
      <c r="G324" s="52">
        <f>J324+M324+N324+Q324</f>
        <v>19500000</v>
      </c>
      <c r="H324" s="52">
        <f>K324+O324</f>
        <v>11303663</v>
      </c>
      <c r="I324" s="52">
        <f>L324+P324</f>
        <v>8196337</v>
      </c>
      <c r="J324" s="52">
        <f t="shared" ref="J324" si="185">J325</f>
        <v>19500000</v>
      </c>
      <c r="K324" s="52">
        <f t="shared" si="182"/>
        <v>11303663</v>
      </c>
      <c r="L324" s="52">
        <f t="shared" si="182"/>
        <v>8196337</v>
      </c>
      <c r="M324" s="52">
        <f>M325</f>
        <v>0</v>
      </c>
      <c r="N324" s="52">
        <f t="shared" si="183"/>
        <v>0</v>
      </c>
      <c r="O324" s="52">
        <f t="shared" si="183"/>
        <v>0</v>
      </c>
      <c r="P324" s="52">
        <f t="shared" si="183"/>
        <v>0</v>
      </c>
      <c r="Q324" s="52">
        <f t="shared" si="183"/>
        <v>0</v>
      </c>
    </row>
    <row r="325" spans="1:17" ht="28" customHeight="1" x14ac:dyDescent="0.35">
      <c r="A325" s="229"/>
      <c r="B325" s="260"/>
      <c r="C325" s="60">
        <v>0</v>
      </c>
      <c r="D325" s="60">
        <v>0</v>
      </c>
      <c r="E325" s="60">
        <v>0</v>
      </c>
      <c r="F325" s="61" t="s">
        <v>107</v>
      </c>
      <c r="G325" s="60">
        <f t="shared" ref="G325:G326" si="186">J325+M325+N325+Q325</f>
        <v>19500000</v>
      </c>
      <c r="H325" s="60">
        <f t="shared" ref="H325:I326" si="187">K325+O325</f>
        <v>11303663</v>
      </c>
      <c r="I325" s="60">
        <f t="shared" si="187"/>
        <v>8196337</v>
      </c>
      <c r="J325" s="60">
        <f>J326</f>
        <v>19500000</v>
      </c>
      <c r="K325" s="60">
        <f t="shared" si="182"/>
        <v>11303663</v>
      </c>
      <c r="L325" s="60">
        <f t="shared" si="182"/>
        <v>8196337</v>
      </c>
      <c r="M325" s="60">
        <f t="shared" si="182"/>
        <v>0</v>
      </c>
      <c r="N325" s="60">
        <f t="shared" si="183"/>
        <v>0</v>
      </c>
      <c r="O325" s="60">
        <f t="shared" si="183"/>
        <v>0</v>
      </c>
      <c r="P325" s="60">
        <f t="shared" si="183"/>
        <v>0</v>
      </c>
      <c r="Q325" s="60">
        <f t="shared" si="183"/>
        <v>0</v>
      </c>
    </row>
    <row r="326" spans="1:17" ht="28" customHeight="1" x14ac:dyDescent="0.35">
      <c r="A326" s="230"/>
      <c r="B326" s="261"/>
      <c r="C326" s="199"/>
      <c r="D326" s="200"/>
      <c r="E326" s="200"/>
      <c r="F326" s="66" t="s">
        <v>108</v>
      </c>
      <c r="G326" s="67">
        <f t="shared" si="186"/>
        <v>19500000</v>
      </c>
      <c r="H326" s="67">
        <f t="shared" si="187"/>
        <v>11303663</v>
      </c>
      <c r="I326" s="67">
        <f t="shared" si="187"/>
        <v>8196337</v>
      </c>
      <c r="J326" s="67">
        <f>K326+L326</f>
        <v>19500000</v>
      </c>
      <c r="K326" s="67">
        <f>5803663+5500000</f>
        <v>11303663</v>
      </c>
      <c r="L326" s="67">
        <f>13696337-5500000</f>
        <v>8196337</v>
      </c>
      <c r="M326" s="68">
        <v>0</v>
      </c>
      <c r="N326" s="68">
        <f>O326+P326</f>
        <v>0</v>
      </c>
      <c r="O326" s="68">
        <v>0</v>
      </c>
      <c r="P326" s="68">
        <v>0</v>
      </c>
      <c r="Q326" s="68">
        <v>0</v>
      </c>
    </row>
    <row r="327" spans="1:17" s="111" customFormat="1" ht="28.5" x14ac:dyDescent="0.35">
      <c r="A327" s="39" t="s">
        <v>283</v>
      </c>
      <c r="B327" s="40" t="s">
        <v>284</v>
      </c>
      <c r="C327" s="41">
        <f>C328+C363</f>
        <v>199524650</v>
      </c>
      <c r="D327" s="41">
        <f t="shared" ref="D327:Q327" si="188">D328+D363</f>
        <v>30500000</v>
      </c>
      <c r="E327" s="41">
        <f t="shared" si="188"/>
        <v>50000000</v>
      </c>
      <c r="F327" s="41"/>
      <c r="G327" s="41">
        <f t="shared" si="188"/>
        <v>2543893375</v>
      </c>
      <c r="H327" s="41">
        <f t="shared" si="188"/>
        <v>1270428615</v>
      </c>
      <c r="I327" s="41">
        <f t="shared" si="188"/>
        <v>32676590</v>
      </c>
      <c r="J327" s="41">
        <f t="shared" si="188"/>
        <v>1303105205</v>
      </c>
      <c r="K327" s="41">
        <f t="shared" si="188"/>
        <v>1270428615</v>
      </c>
      <c r="L327" s="41">
        <f t="shared" si="188"/>
        <v>32676590</v>
      </c>
      <c r="M327" s="41">
        <f t="shared" si="188"/>
        <v>1240788170</v>
      </c>
      <c r="N327" s="41">
        <f t="shared" si="188"/>
        <v>0</v>
      </c>
      <c r="O327" s="41">
        <f t="shared" si="188"/>
        <v>0</v>
      </c>
      <c r="P327" s="41">
        <f t="shared" si="188"/>
        <v>0</v>
      </c>
      <c r="Q327" s="41">
        <f t="shared" si="188"/>
        <v>0</v>
      </c>
    </row>
    <row r="328" spans="1:17" s="111" customFormat="1" ht="28.5" x14ac:dyDescent="0.35">
      <c r="A328" s="45" t="s">
        <v>285</v>
      </c>
      <c r="B328" s="46" t="s">
        <v>286</v>
      </c>
      <c r="C328" s="47">
        <f>C329+C341</f>
        <v>199524650</v>
      </c>
      <c r="D328" s="47">
        <f>D329+D341</f>
        <v>30500000</v>
      </c>
      <c r="E328" s="48">
        <f>E329+E341</f>
        <v>50000000</v>
      </c>
      <c r="F328" s="49"/>
      <c r="G328" s="48">
        <f t="shared" ref="G328:G348" si="189">J328+M328+N328+Q328</f>
        <v>2024548122</v>
      </c>
      <c r="H328" s="48">
        <f t="shared" ref="H328:I344" si="190">K328+O328</f>
        <v>805751470</v>
      </c>
      <c r="I328" s="48">
        <f t="shared" si="190"/>
        <v>25208482</v>
      </c>
      <c r="J328" s="48">
        <f t="shared" ref="J328:Q328" si="191">J329+J341</f>
        <v>830959952</v>
      </c>
      <c r="K328" s="48">
        <f t="shared" si="191"/>
        <v>805751470</v>
      </c>
      <c r="L328" s="48">
        <f t="shared" si="191"/>
        <v>25208482</v>
      </c>
      <c r="M328" s="48">
        <f t="shared" si="191"/>
        <v>1193588170</v>
      </c>
      <c r="N328" s="48">
        <f t="shared" si="191"/>
        <v>0</v>
      </c>
      <c r="O328" s="48">
        <f t="shared" si="191"/>
        <v>0</v>
      </c>
      <c r="P328" s="48">
        <f t="shared" si="191"/>
        <v>0</v>
      </c>
      <c r="Q328" s="48">
        <f t="shared" si="191"/>
        <v>0</v>
      </c>
    </row>
    <row r="329" spans="1:17" ht="52" x14ac:dyDescent="0.35">
      <c r="A329" s="87" t="s">
        <v>287</v>
      </c>
      <c r="B329" s="88" t="s">
        <v>288</v>
      </c>
      <c r="C329" s="52">
        <f>C330+C333+C337</f>
        <v>0</v>
      </c>
      <c r="D329" s="52">
        <f>D330+D333+D337</f>
        <v>0</v>
      </c>
      <c r="E329" s="53">
        <f>E330+E333+E337</f>
        <v>25000000</v>
      </c>
      <c r="F329" s="54" t="s">
        <v>289</v>
      </c>
      <c r="G329" s="52">
        <f t="shared" si="189"/>
        <v>1334738649</v>
      </c>
      <c r="H329" s="52">
        <f t="shared" si="190"/>
        <v>121150479</v>
      </c>
      <c r="I329" s="52">
        <f t="shared" si="190"/>
        <v>20000000</v>
      </c>
      <c r="J329" s="52">
        <f t="shared" ref="J329:Q329" si="192">J333+J330+J337</f>
        <v>141150479</v>
      </c>
      <c r="K329" s="52">
        <f t="shared" si="192"/>
        <v>121150479</v>
      </c>
      <c r="L329" s="52">
        <f t="shared" si="192"/>
        <v>20000000</v>
      </c>
      <c r="M329" s="52">
        <f t="shared" si="192"/>
        <v>1193588170</v>
      </c>
      <c r="N329" s="52">
        <f t="shared" si="192"/>
        <v>0</v>
      </c>
      <c r="O329" s="52">
        <f t="shared" si="192"/>
        <v>0</v>
      </c>
      <c r="P329" s="52">
        <f t="shared" si="192"/>
        <v>0</v>
      </c>
      <c r="Q329" s="52">
        <f t="shared" si="192"/>
        <v>0</v>
      </c>
    </row>
    <row r="330" spans="1:17" ht="28" customHeight="1" x14ac:dyDescent="0.35">
      <c r="A330" s="252" t="s">
        <v>290</v>
      </c>
      <c r="B330" s="251" t="s">
        <v>291</v>
      </c>
      <c r="C330" s="56">
        <f>C331</f>
        <v>0</v>
      </c>
      <c r="D330" s="57">
        <f>D331</f>
        <v>0</v>
      </c>
      <c r="E330" s="58">
        <f>E331</f>
        <v>0</v>
      </c>
      <c r="F330" s="59" t="s">
        <v>292</v>
      </c>
      <c r="G330" s="58">
        <f t="shared" si="189"/>
        <v>506995465</v>
      </c>
      <c r="H330" s="58">
        <f t="shared" si="190"/>
        <v>50749479</v>
      </c>
      <c r="I330" s="58">
        <f t="shared" si="190"/>
        <v>20000000</v>
      </c>
      <c r="J330" s="58">
        <f t="shared" ref="J330:Q331" si="193">J331</f>
        <v>70749479</v>
      </c>
      <c r="K330" s="58">
        <f t="shared" si="193"/>
        <v>50749479</v>
      </c>
      <c r="L330" s="58">
        <f t="shared" si="193"/>
        <v>20000000</v>
      </c>
      <c r="M330" s="58">
        <f t="shared" si="193"/>
        <v>436245986</v>
      </c>
      <c r="N330" s="58">
        <f t="shared" si="193"/>
        <v>0</v>
      </c>
      <c r="O330" s="58">
        <f t="shared" si="193"/>
        <v>0</v>
      </c>
      <c r="P330" s="58">
        <f t="shared" si="193"/>
        <v>0</v>
      </c>
      <c r="Q330" s="58">
        <f t="shared" si="193"/>
        <v>0</v>
      </c>
    </row>
    <row r="331" spans="1:17" ht="28" customHeight="1" x14ac:dyDescent="0.35">
      <c r="A331" s="252"/>
      <c r="B331" s="251"/>
      <c r="C331" s="60">
        <v>0</v>
      </c>
      <c r="D331" s="60">
        <v>0</v>
      </c>
      <c r="E331" s="60">
        <v>0</v>
      </c>
      <c r="F331" s="61" t="s">
        <v>115</v>
      </c>
      <c r="G331" s="77">
        <f t="shared" si="189"/>
        <v>506995465</v>
      </c>
      <c r="H331" s="77">
        <f t="shared" si="190"/>
        <v>50749479</v>
      </c>
      <c r="I331" s="77">
        <f t="shared" si="190"/>
        <v>20000000</v>
      </c>
      <c r="J331" s="77">
        <f>J332</f>
        <v>70749479</v>
      </c>
      <c r="K331" s="77">
        <f t="shared" si="193"/>
        <v>50749479</v>
      </c>
      <c r="L331" s="77">
        <f t="shared" si="193"/>
        <v>20000000</v>
      </c>
      <c r="M331" s="77">
        <f t="shared" si="193"/>
        <v>436245986</v>
      </c>
      <c r="N331" s="77">
        <f t="shared" si="193"/>
        <v>0</v>
      </c>
      <c r="O331" s="77">
        <f t="shared" si="193"/>
        <v>0</v>
      </c>
      <c r="P331" s="77">
        <f t="shared" si="193"/>
        <v>0</v>
      </c>
      <c r="Q331" s="77">
        <f t="shared" si="193"/>
        <v>0</v>
      </c>
    </row>
    <row r="332" spans="1:17" ht="28" customHeight="1" x14ac:dyDescent="0.35">
      <c r="A332" s="252"/>
      <c r="B332" s="251"/>
      <c r="C332" s="90"/>
      <c r="D332" s="73"/>
      <c r="E332" s="73"/>
      <c r="F332" s="66" t="s">
        <v>116</v>
      </c>
      <c r="G332" s="68">
        <f t="shared" si="189"/>
        <v>506995465</v>
      </c>
      <c r="H332" s="68">
        <f t="shared" si="190"/>
        <v>50749479</v>
      </c>
      <c r="I332" s="68">
        <f t="shared" si="190"/>
        <v>20000000</v>
      </c>
      <c r="J332" s="68">
        <f>K332+L332</f>
        <v>70749479</v>
      </c>
      <c r="K332" s="67">
        <v>50749479</v>
      </c>
      <c r="L332" s="67">
        <v>20000000</v>
      </c>
      <c r="M332" s="68">
        <v>436245986</v>
      </c>
      <c r="N332" s="68">
        <f>O332+P332</f>
        <v>0</v>
      </c>
      <c r="O332" s="68">
        <v>0</v>
      </c>
      <c r="P332" s="68">
        <v>0</v>
      </c>
      <c r="Q332" s="68">
        <v>0</v>
      </c>
    </row>
    <row r="333" spans="1:17" ht="28" customHeight="1" x14ac:dyDescent="0.35">
      <c r="A333" s="250" t="s">
        <v>293</v>
      </c>
      <c r="B333" s="251" t="s">
        <v>294</v>
      </c>
      <c r="C333" s="56">
        <f>C334</f>
        <v>0</v>
      </c>
      <c r="D333" s="57">
        <f>D334</f>
        <v>0</v>
      </c>
      <c r="E333" s="58">
        <f>E334</f>
        <v>13000000</v>
      </c>
      <c r="F333" s="59" t="s">
        <v>295</v>
      </c>
      <c r="G333" s="58">
        <f t="shared" si="189"/>
        <v>810743184</v>
      </c>
      <c r="H333" s="58">
        <f t="shared" si="190"/>
        <v>70401000</v>
      </c>
      <c r="I333" s="58">
        <f t="shared" si="190"/>
        <v>0</v>
      </c>
      <c r="J333" s="58">
        <f>J334</f>
        <v>70401000</v>
      </c>
      <c r="K333" s="58">
        <f t="shared" ref="K333:Q333" si="194">K334</f>
        <v>70401000</v>
      </c>
      <c r="L333" s="58">
        <f t="shared" si="194"/>
        <v>0</v>
      </c>
      <c r="M333" s="58">
        <f t="shared" si="194"/>
        <v>740342184</v>
      </c>
      <c r="N333" s="58">
        <f t="shared" si="194"/>
        <v>0</v>
      </c>
      <c r="O333" s="58">
        <f t="shared" si="194"/>
        <v>0</v>
      </c>
      <c r="P333" s="58">
        <f t="shared" si="194"/>
        <v>0</v>
      </c>
      <c r="Q333" s="58">
        <f t="shared" si="194"/>
        <v>0</v>
      </c>
    </row>
    <row r="334" spans="1:17" ht="28" customHeight="1" x14ac:dyDescent="0.35">
      <c r="A334" s="250"/>
      <c r="B334" s="251"/>
      <c r="C334" s="60">
        <v>0</v>
      </c>
      <c r="D334" s="60">
        <v>0</v>
      </c>
      <c r="E334" s="72">
        <f>G336</f>
        <v>13000000</v>
      </c>
      <c r="F334" s="61" t="s">
        <v>115</v>
      </c>
      <c r="G334" s="77">
        <f t="shared" si="189"/>
        <v>810743184</v>
      </c>
      <c r="H334" s="77">
        <f t="shared" si="190"/>
        <v>70401000</v>
      </c>
      <c r="I334" s="77">
        <f t="shared" si="190"/>
        <v>0</v>
      </c>
      <c r="J334" s="77">
        <f>J335+J336</f>
        <v>70401000</v>
      </c>
      <c r="K334" s="77">
        <f t="shared" ref="K334:Q334" si="195">K335+K336</f>
        <v>70401000</v>
      </c>
      <c r="L334" s="77">
        <f t="shared" si="195"/>
        <v>0</v>
      </c>
      <c r="M334" s="77">
        <f t="shared" si="195"/>
        <v>740342184</v>
      </c>
      <c r="N334" s="77">
        <f t="shared" si="195"/>
        <v>0</v>
      </c>
      <c r="O334" s="77">
        <f t="shared" si="195"/>
        <v>0</v>
      </c>
      <c r="P334" s="77">
        <f t="shared" si="195"/>
        <v>0</v>
      </c>
      <c r="Q334" s="77">
        <f t="shared" si="195"/>
        <v>0</v>
      </c>
    </row>
    <row r="335" spans="1:17" ht="28" customHeight="1" x14ac:dyDescent="0.35">
      <c r="A335" s="250"/>
      <c r="B335" s="251"/>
      <c r="C335" s="90"/>
      <c r="D335" s="73"/>
      <c r="E335" s="19"/>
      <c r="F335" s="66" t="s">
        <v>116</v>
      </c>
      <c r="G335" s="68">
        <f t="shared" si="189"/>
        <v>797743184</v>
      </c>
      <c r="H335" s="68">
        <f t="shared" si="190"/>
        <v>70401000</v>
      </c>
      <c r="I335" s="68">
        <f t="shared" si="190"/>
        <v>0</v>
      </c>
      <c r="J335" s="68">
        <f>K335+L335</f>
        <v>70401000</v>
      </c>
      <c r="K335" s="67">
        <v>70401000</v>
      </c>
      <c r="L335" s="67">
        <v>0</v>
      </c>
      <c r="M335" s="68">
        <f>744342184-17000000</f>
        <v>727342184</v>
      </c>
      <c r="N335" s="68">
        <f>O335+P335</f>
        <v>0</v>
      </c>
      <c r="O335" s="68">
        <v>0</v>
      </c>
      <c r="P335" s="68">
        <v>0</v>
      </c>
      <c r="Q335" s="68">
        <v>0</v>
      </c>
    </row>
    <row r="336" spans="1:17" ht="28" customHeight="1" x14ac:dyDescent="0.35">
      <c r="A336" s="250"/>
      <c r="B336" s="251"/>
      <c r="C336" s="90"/>
      <c r="D336" s="73"/>
      <c r="E336" s="19"/>
      <c r="F336" s="66" t="s">
        <v>117</v>
      </c>
      <c r="G336" s="74">
        <f t="shared" si="189"/>
        <v>13000000</v>
      </c>
      <c r="H336" s="74">
        <f t="shared" si="190"/>
        <v>0</v>
      </c>
      <c r="I336" s="74">
        <f t="shared" si="190"/>
        <v>0</v>
      </c>
      <c r="J336" s="74">
        <f>K336+L336</f>
        <v>0</v>
      </c>
      <c r="K336" s="74">
        <v>0</v>
      </c>
      <c r="L336" s="74">
        <v>0</v>
      </c>
      <c r="M336" s="74">
        <f>25000000-12000000</f>
        <v>13000000</v>
      </c>
      <c r="N336" s="74">
        <f>O336+P336</f>
        <v>0</v>
      </c>
      <c r="O336" s="74">
        <v>0</v>
      </c>
      <c r="P336" s="74">
        <v>0</v>
      </c>
      <c r="Q336" s="74">
        <v>0</v>
      </c>
    </row>
    <row r="337" spans="1:17" ht="28" customHeight="1" x14ac:dyDescent="0.35">
      <c r="A337" s="256" t="s">
        <v>296</v>
      </c>
      <c r="B337" s="253" t="s">
        <v>297</v>
      </c>
      <c r="C337" s="56">
        <f>C338</f>
        <v>0</v>
      </c>
      <c r="D337" s="57">
        <f>D338</f>
        <v>0</v>
      </c>
      <c r="E337" s="58">
        <f>E338</f>
        <v>12000000</v>
      </c>
      <c r="F337" s="59" t="s">
        <v>298</v>
      </c>
      <c r="G337" s="58">
        <f t="shared" si="189"/>
        <v>17000000</v>
      </c>
      <c r="H337" s="58">
        <f t="shared" si="190"/>
        <v>0</v>
      </c>
      <c r="I337" s="58">
        <f t="shared" si="190"/>
        <v>0</v>
      </c>
      <c r="J337" s="58">
        <f>J338</f>
        <v>0</v>
      </c>
      <c r="K337" s="58">
        <f t="shared" ref="K337:Q337" si="196">K338</f>
        <v>0</v>
      </c>
      <c r="L337" s="58">
        <f t="shared" si="196"/>
        <v>0</v>
      </c>
      <c r="M337" s="58">
        <f t="shared" si="196"/>
        <v>17000000</v>
      </c>
      <c r="N337" s="58">
        <f t="shared" si="196"/>
        <v>0</v>
      </c>
      <c r="O337" s="58">
        <f t="shared" si="196"/>
        <v>0</v>
      </c>
      <c r="P337" s="58">
        <f t="shared" si="196"/>
        <v>0</v>
      </c>
      <c r="Q337" s="58">
        <f t="shared" si="196"/>
        <v>0</v>
      </c>
    </row>
    <row r="338" spans="1:17" ht="28" customHeight="1" x14ac:dyDescent="0.35">
      <c r="A338" s="257"/>
      <c r="B338" s="254"/>
      <c r="C338" s="60">
        <v>0</v>
      </c>
      <c r="D338" s="60">
        <v>0</v>
      </c>
      <c r="E338" s="72">
        <f>G340</f>
        <v>12000000</v>
      </c>
      <c r="F338" s="61" t="s">
        <v>115</v>
      </c>
      <c r="G338" s="77">
        <f t="shared" ref="G338" si="197">J338+M338+N338+Q338</f>
        <v>17000000</v>
      </c>
      <c r="H338" s="77">
        <f t="shared" ref="H338" si="198">K338+O338</f>
        <v>0</v>
      </c>
      <c r="I338" s="77">
        <f t="shared" ref="I338" si="199">L338+P338</f>
        <v>0</v>
      </c>
      <c r="J338" s="77">
        <f t="shared" ref="J338" si="200">J339+J340</f>
        <v>0</v>
      </c>
      <c r="K338" s="77">
        <f t="shared" ref="K338" si="201">K339+K340</f>
        <v>0</v>
      </c>
      <c r="L338" s="77">
        <f t="shared" ref="L338" si="202">L339+L340</f>
        <v>0</v>
      </c>
      <c r="M338" s="77">
        <f t="shared" ref="M338:P338" si="203">M339+M340</f>
        <v>17000000</v>
      </c>
      <c r="N338" s="77">
        <f t="shared" si="203"/>
        <v>0</v>
      </c>
      <c r="O338" s="77">
        <f t="shared" si="203"/>
        <v>0</v>
      </c>
      <c r="P338" s="77">
        <f t="shared" si="203"/>
        <v>0</v>
      </c>
      <c r="Q338" s="77">
        <f>Q339+Q340</f>
        <v>0</v>
      </c>
    </row>
    <row r="339" spans="1:17" ht="28" customHeight="1" x14ac:dyDescent="0.35">
      <c r="A339" s="257"/>
      <c r="B339" s="254"/>
      <c r="C339" s="90"/>
      <c r="D339" s="73"/>
      <c r="E339" s="73"/>
      <c r="F339" s="66" t="s">
        <v>116</v>
      </c>
      <c r="G339" s="68">
        <f t="shared" si="189"/>
        <v>5000000</v>
      </c>
      <c r="H339" s="68">
        <f t="shared" si="190"/>
        <v>0</v>
      </c>
      <c r="I339" s="68">
        <f t="shared" si="190"/>
        <v>0</v>
      </c>
      <c r="J339" s="68">
        <f>K339+L339</f>
        <v>0</v>
      </c>
      <c r="K339" s="67">
        <v>0</v>
      </c>
      <c r="L339" s="67">
        <v>0</v>
      </c>
      <c r="M339" s="68">
        <v>5000000</v>
      </c>
      <c r="N339" s="68">
        <f>O339+P339</f>
        <v>0</v>
      </c>
      <c r="O339" s="68">
        <v>0</v>
      </c>
      <c r="P339" s="68">
        <v>0</v>
      </c>
      <c r="Q339" s="68">
        <v>0</v>
      </c>
    </row>
    <row r="340" spans="1:17" ht="28" customHeight="1" x14ac:dyDescent="0.35">
      <c r="A340" s="258"/>
      <c r="B340" s="255"/>
      <c r="C340" s="90"/>
      <c r="D340" s="73"/>
      <c r="E340" s="73"/>
      <c r="F340" s="66" t="s">
        <v>117</v>
      </c>
      <c r="G340" s="74">
        <f t="shared" ref="G340" si="204">J340+M340+N340+Q340</f>
        <v>12000000</v>
      </c>
      <c r="H340" s="74">
        <f t="shared" ref="H340" si="205">K340+O340</f>
        <v>0</v>
      </c>
      <c r="I340" s="74">
        <f t="shared" ref="I340" si="206">L340+P340</f>
        <v>0</v>
      </c>
      <c r="J340" s="74">
        <f>K340+L340</f>
        <v>0</v>
      </c>
      <c r="K340" s="74">
        <v>0</v>
      </c>
      <c r="L340" s="74">
        <v>0</v>
      </c>
      <c r="M340" s="74">
        <f>12000000</f>
        <v>12000000</v>
      </c>
      <c r="N340" s="74">
        <f>O340+P340</f>
        <v>0</v>
      </c>
      <c r="O340" s="74">
        <v>0</v>
      </c>
      <c r="P340" s="74">
        <v>0</v>
      </c>
      <c r="Q340" s="74">
        <v>0</v>
      </c>
    </row>
    <row r="341" spans="1:17" ht="52" x14ac:dyDescent="0.35">
      <c r="A341" s="87" t="s">
        <v>299</v>
      </c>
      <c r="B341" s="88" t="s">
        <v>300</v>
      </c>
      <c r="C341" s="52">
        <f>C342+C345+C349+C356</f>
        <v>199524650</v>
      </c>
      <c r="D341" s="52">
        <f>D342+D345+D349+D356</f>
        <v>30500000</v>
      </c>
      <c r="E341" s="53">
        <f>E342+E345+E349+E356</f>
        <v>25000000</v>
      </c>
      <c r="F341" s="54" t="s">
        <v>301</v>
      </c>
      <c r="G341" s="52">
        <f t="shared" si="189"/>
        <v>689809473</v>
      </c>
      <c r="H341" s="52">
        <f t="shared" si="190"/>
        <v>684600991</v>
      </c>
      <c r="I341" s="52">
        <f t="shared" si="190"/>
        <v>5208482</v>
      </c>
      <c r="J341" s="52">
        <f>J342+J345+J349+J356</f>
        <v>689809473</v>
      </c>
      <c r="K341" s="52">
        <f t="shared" ref="K341:Q341" si="207">K342+K345+K349+K356</f>
        <v>684600991</v>
      </c>
      <c r="L341" s="52">
        <f t="shared" si="207"/>
        <v>5208482</v>
      </c>
      <c r="M341" s="52">
        <f t="shared" si="207"/>
        <v>0</v>
      </c>
      <c r="N341" s="52">
        <f t="shared" si="207"/>
        <v>0</v>
      </c>
      <c r="O341" s="52">
        <f t="shared" si="207"/>
        <v>0</v>
      </c>
      <c r="P341" s="52">
        <f t="shared" si="207"/>
        <v>0</v>
      </c>
      <c r="Q341" s="52">
        <f t="shared" si="207"/>
        <v>0</v>
      </c>
    </row>
    <row r="342" spans="1:17" ht="75.650000000000006" customHeight="1" x14ac:dyDescent="0.35">
      <c r="A342" s="252" t="s">
        <v>302</v>
      </c>
      <c r="B342" s="251" t="s">
        <v>303</v>
      </c>
      <c r="C342" s="56">
        <f>C343</f>
        <v>0</v>
      </c>
      <c r="D342" s="57">
        <f>D343</f>
        <v>0</v>
      </c>
      <c r="E342" s="58">
        <f>E343</f>
        <v>0</v>
      </c>
      <c r="F342" s="59" t="s">
        <v>304</v>
      </c>
      <c r="G342" s="58">
        <f t="shared" si="189"/>
        <v>179250521</v>
      </c>
      <c r="H342" s="58">
        <f t="shared" si="190"/>
        <v>179250521</v>
      </c>
      <c r="I342" s="58">
        <f t="shared" si="190"/>
        <v>0</v>
      </c>
      <c r="J342" s="58">
        <f>J343</f>
        <v>179250521</v>
      </c>
      <c r="K342" s="58">
        <f t="shared" ref="K342:Q343" si="208">K343</f>
        <v>179250521</v>
      </c>
      <c r="L342" s="58">
        <f t="shared" si="208"/>
        <v>0</v>
      </c>
      <c r="M342" s="58">
        <f t="shared" si="208"/>
        <v>0</v>
      </c>
      <c r="N342" s="58">
        <f t="shared" si="208"/>
        <v>0</v>
      </c>
      <c r="O342" s="58">
        <f t="shared" si="208"/>
        <v>0</v>
      </c>
      <c r="P342" s="58">
        <f t="shared" si="208"/>
        <v>0</v>
      </c>
      <c r="Q342" s="58">
        <f t="shared" si="208"/>
        <v>0</v>
      </c>
    </row>
    <row r="343" spans="1:17" ht="28" customHeight="1" x14ac:dyDescent="0.35">
      <c r="A343" s="252"/>
      <c r="B343" s="251"/>
      <c r="C343" s="60">
        <v>0</v>
      </c>
      <c r="D343" s="60">
        <v>0</v>
      </c>
      <c r="E343" s="60">
        <v>0</v>
      </c>
      <c r="F343" s="61" t="s">
        <v>115</v>
      </c>
      <c r="G343" s="77">
        <f t="shared" si="189"/>
        <v>179250521</v>
      </c>
      <c r="H343" s="77">
        <f t="shared" si="190"/>
        <v>179250521</v>
      </c>
      <c r="I343" s="77">
        <f t="shared" si="190"/>
        <v>0</v>
      </c>
      <c r="J343" s="77">
        <f>J344</f>
        <v>179250521</v>
      </c>
      <c r="K343" s="77">
        <f t="shared" si="208"/>
        <v>179250521</v>
      </c>
      <c r="L343" s="77">
        <f t="shared" si="208"/>
        <v>0</v>
      </c>
      <c r="M343" s="77">
        <f t="shared" si="208"/>
        <v>0</v>
      </c>
      <c r="N343" s="77">
        <f t="shared" si="208"/>
        <v>0</v>
      </c>
      <c r="O343" s="77">
        <f t="shared" si="208"/>
        <v>0</v>
      </c>
      <c r="P343" s="77">
        <f t="shared" si="208"/>
        <v>0</v>
      </c>
      <c r="Q343" s="77">
        <f t="shared" si="208"/>
        <v>0</v>
      </c>
    </row>
    <row r="344" spans="1:17" ht="28" customHeight="1" x14ac:dyDescent="0.35">
      <c r="A344" s="252"/>
      <c r="B344" s="251"/>
      <c r="C344" s="90"/>
      <c r="D344" s="73"/>
      <c r="E344" s="73"/>
      <c r="F344" s="66" t="s">
        <v>116</v>
      </c>
      <c r="G344" s="67">
        <f t="shared" si="189"/>
        <v>179250521</v>
      </c>
      <c r="H344" s="67">
        <f t="shared" si="190"/>
        <v>179250521</v>
      </c>
      <c r="I344" s="67">
        <f t="shared" si="190"/>
        <v>0</v>
      </c>
      <c r="J344" s="67">
        <f>K344+L344</f>
        <v>179250521</v>
      </c>
      <c r="K344" s="67">
        <v>179250521</v>
      </c>
      <c r="L344" s="67">
        <v>0</v>
      </c>
      <c r="M344" s="67">
        <v>0</v>
      </c>
      <c r="N344" s="67">
        <f>O344+P344</f>
        <v>0</v>
      </c>
      <c r="O344" s="67">
        <v>0</v>
      </c>
      <c r="P344" s="67">
        <v>0</v>
      </c>
      <c r="Q344" s="68">
        <v>0</v>
      </c>
    </row>
    <row r="345" spans="1:17" ht="28" customHeight="1" x14ac:dyDescent="0.35">
      <c r="A345" s="250" t="s">
        <v>305</v>
      </c>
      <c r="B345" s="251" t="s">
        <v>306</v>
      </c>
      <c r="C345" s="56">
        <f>C346</f>
        <v>0</v>
      </c>
      <c r="D345" s="57">
        <f>D346</f>
        <v>0</v>
      </c>
      <c r="E345" s="58">
        <f>E346</f>
        <v>25000000</v>
      </c>
      <c r="F345" s="59" t="s">
        <v>307</v>
      </c>
      <c r="G345" s="58">
        <f t="shared" si="189"/>
        <v>240642000</v>
      </c>
      <c r="H345" s="58">
        <f t="shared" ref="H345:I360" si="209">K345+O345</f>
        <v>240642000</v>
      </c>
      <c r="I345" s="58">
        <f t="shared" si="209"/>
        <v>0</v>
      </c>
      <c r="J345" s="58">
        <f>J346</f>
        <v>240642000</v>
      </c>
      <c r="K345" s="58">
        <f t="shared" ref="K345:Q345" si="210">K346</f>
        <v>240642000</v>
      </c>
      <c r="L345" s="58">
        <f t="shared" si="210"/>
        <v>0</v>
      </c>
      <c r="M345" s="58">
        <f t="shared" si="210"/>
        <v>0</v>
      </c>
      <c r="N345" s="58">
        <f t="shared" si="210"/>
        <v>0</v>
      </c>
      <c r="O345" s="58">
        <f t="shared" si="210"/>
        <v>0</v>
      </c>
      <c r="P345" s="58">
        <f t="shared" si="210"/>
        <v>0</v>
      </c>
      <c r="Q345" s="58">
        <f t="shared" si="210"/>
        <v>0</v>
      </c>
    </row>
    <row r="346" spans="1:17" ht="28" customHeight="1" x14ac:dyDescent="0.35">
      <c r="A346" s="250"/>
      <c r="B346" s="251"/>
      <c r="C346" s="60">
        <v>0</v>
      </c>
      <c r="D346" s="60">
        <v>0</v>
      </c>
      <c r="E346" s="72">
        <f>G348</f>
        <v>25000000</v>
      </c>
      <c r="F346" s="61" t="s">
        <v>115</v>
      </c>
      <c r="G346" s="77">
        <f t="shared" si="189"/>
        <v>240642000</v>
      </c>
      <c r="H346" s="77">
        <f t="shared" si="209"/>
        <v>240642000</v>
      </c>
      <c r="I346" s="77">
        <f t="shared" si="209"/>
        <v>0</v>
      </c>
      <c r="J346" s="77">
        <f>J347+J348</f>
        <v>240642000</v>
      </c>
      <c r="K346" s="77">
        <f t="shared" ref="K346:Q346" si="211">K347+K348</f>
        <v>240642000</v>
      </c>
      <c r="L346" s="77">
        <f t="shared" si="211"/>
        <v>0</v>
      </c>
      <c r="M346" s="77">
        <f t="shared" si="211"/>
        <v>0</v>
      </c>
      <c r="N346" s="77">
        <f t="shared" si="211"/>
        <v>0</v>
      </c>
      <c r="O346" s="77">
        <f t="shared" si="211"/>
        <v>0</v>
      </c>
      <c r="P346" s="77">
        <f t="shared" si="211"/>
        <v>0</v>
      </c>
      <c r="Q346" s="77">
        <f t="shared" si="211"/>
        <v>0</v>
      </c>
    </row>
    <row r="347" spans="1:17" ht="28" customHeight="1" x14ac:dyDescent="0.35">
      <c r="A347" s="250"/>
      <c r="B347" s="251"/>
      <c r="C347" s="90"/>
      <c r="D347" s="73"/>
      <c r="E347" s="19"/>
      <c r="F347" s="66" t="s">
        <v>116</v>
      </c>
      <c r="G347" s="67">
        <f t="shared" si="189"/>
        <v>215642000</v>
      </c>
      <c r="H347" s="67">
        <f t="shared" si="209"/>
        <v>215642000</v>
      </c>
      <c r="I347" s="67">
        <f t="shared" si="209"/>
        <v>0</v>
      </c>
      <c r="J347" s="67">
        <f>K347+L347</f>
        <v>215642000</v>
      </c>
      <c r="K347" s="67">
        <v>215642000</v>
      </c>
      <c r="L347" s="67">
        <v>0</v>
      </c>
      <c r="M347" s="67">
        <v>0</v>
      </c>
      <c r="N347" s="67">
        <f>O347+P347</f>
        <v>0</v>
      </c>
      <c r="O347" s="67">
        <v>0</v>
      </c>
      <c r="P347" s="67">
        <v>0</v>
      </c>
      <c r="Q347" s="68">
        <v>0</v>
      </c>
    </row>
    <row r="348" spans="1:17" ht="28" customHeight="1" x14ac:dyDescent="0.35">
      <c r="A348" s="250"/>
      <c r="B348" s="251"/>
      <c r="C348" s="90"/>
      <c r="D348" s="73"/>
      <c r="E348" s="19"/>
      <c r="F348" s="66" t="s">
        <v>117</v>
      </c>
      <c r="G348" s="74">
        <f t="shared" si="189"/>
        <v>25000000</v>
      </c>
      <c r="H348" s="74">
        <f t="shared" si="209"/>
        <v>25000000</v>
      </c>
      <c r="I348" s="74">
        <f t="shared" si="209"/>
        <v>0</v>
      </c>
      <c r="J348" s="74">
        <f>K348+L348</f>
        <v>25000000</v>
      </c>
      <c r="K348" s="74">
        <v>25000000</v>
      </c>
      <c r="L348" s="74">
        <v>0</v>
      </c>
      <c r="M348" s="74">
        <v>0</v>
      </c>
      <c r="N348" s="74">
        <f>O348+P348</f>
        <v>0</v>
      </c>
      <c r="O348" s="74">
        <v>0</v>
      </c>
      <c r="P348" s="74">
        <v>0</v>
      </c>
      <c r="Q348" s="74">
        <v>0</v>
      </c>
    </row>
    <row r="349" spans="1:17" ht="28" customHeight="1" x14ac:dyDescent="0.35">
      <c r="A349" s="250" t="s">
        <v>308</v>
      </c>
      <c r="B349" s="251" t="s">
        <v>309</v>
      </c>
      <c r="C349" s="57">
        <f>C350+C354</f>
        <v>125040059</v>
      </c>
      <c r="D349" s="57">
        <f>D350+D354</f>
        <v>0</v>
      </c>
      <c r="E349" s="57">
        <f>E350+E354</f>
        <v>0</v>
      </c>
      <c r="F349" s="59" t="s">
        <v>310</v>
      </c>
      <c r="G349" s="58">
        <f>J349+M349+N349+Q349</f>
        <v>150532361</v>
      </c>
      <c r="H349" s="58">
        <f t="shared" si="209"/>
        <v>145323879</v>
      </c>
      <c r="I349" s="58">
        <f t="shared" si="209"/>
        <v>5208482</v>
      </c>
      <c r="J349" s="58">
        <f>J350+J354</f>
        <v>150532361</v>
      </c>
      <c r="K349" s="58">
        <f t="shared" ref="K349:Q349" si="212">K350+K354</f>
        <v>145323879</v>
      </c>
      <c r="L349" s="58">
        <f t="shared" si="212"/>
        <v>5208482</v>
      </c>
      <c r="M349" s="58">
        <f t="shared" si="212"/>
        <v>0</v>
      </c>
      <c r="N349" s="58">
        <f t="shared" si="212"/>
        <v>0</v>
      </c>
      <c r="O349" s="58">
        <f t="shared" si="212"/>
        <v>0</v>
      </c>
      <c r="P349" s="58">
        <f t="shared" si="212"/>
        <v>0</v>
      </c>
      <c r="Q349" s="58">
        <f t="shared" si="212"/>
        <v>0</v>
      </c>
    </row>
    <row r="350" spans="1:17" ht="28" customHeight="1" x14ac:dyDescent="0.35">
      <c r="A350" s="250"/>
      <c r="B350" s="251"/>
      <c r="C350" s="69">
        <f>G352+G353</f>
        <v>125040059</v>
      </c>
      <c r="D350" s="60">
        <v>0</v>
      </c>
      <c r="E350" s="60">
        <v>0</v>
      </c>
      <c r="F350" s="61" t="s">
        <v>36</v>
      </c>
      <c r="G350" s="60">
        <f t="shared" ref="G350:G406" si="213">J350+M350+N350+Q350</f>
        <v>150532361</v>
      </c>
      <c r="H350" s="60">
        <f t="shared" si="209"/>
        <v>145323879</v>
      </c>
      <c r="I350" s="60">
        <f t="shared" si="209"/>
        <v>5208482</v>
      </c>
      <c r="J350" s="60">
        <f>J351+J352+J353</f>
        <v>150532361</v>
      </c>
      <c r="K350" s="60">
        <f t="shared" ref="K350:Q350" si="214">K351+K352+K353</f>
        <v>145323879</v>
      </c>
      <c r="L350" s="60">
        <f t="shared" si="214"/>
        <v>5208482</v>
      </c>
      <c r="M350" s="60">
        <f t="shared" si="214"/>
        <v>0</v>
      </c>
      <c r="N350" s="60">
        <f t="shared" si="214"/>
        <v>0</v>
      </c>
      <c r="O350" s="60">
        <f t="shared" si="214"/>
        <v>0</v>
      </c>
      <c r="P350" s="60">
        <f t="shared" si="214"/>
        <v>0</v>
      </c>
      <c r="Q350" s="60">
        <f t="shared" si="214"/>
        <v>0</v>
      </c>
    </row>
    <row r="351" spans="1:17" ht="28" customHeight="1" x14ac:dyDescent="0.35">
      <c r="A351" s="250"/>
      <c r="B351" s="251"/>
      <c r="C351" s="78"/>
      <c r="D351" s="73"/>
      <c r="E351" s="73"/>
      <c r="F351" s="66" t="s">
        <v>37</v>
      </c>
      <c r="G351" s="67">
        <f t="shared" si="213"/>
        <v>25492302</v>
      </c>
      <c r="H351" s="67">
        <f t="shared" si="209"/>
        <v>25492302</v>
      </c>
      <c r="I351" s="67">
        <f t="shared" si="209"/>
        <v>0</v>
      </c>
      <c r="J351" s="67">
        <f>K351+L351</f>
        <v>25492302</v>
      </c>
      <c r="K351" s="67">
        <f>30967103-5474801</f>
        <v>25492302</v>
      </c>
      <c r="L351" s="67">
        <v>0</v>
      </c>
      <c r="M351" s="67">
        <v>0</v>
      </c>
      <c r="N351" s="67">
        <f>O351+P351</f>
        <v>0</v>
      </c>
      <c r="O351" s="67">
        <v>0</v>
      </c>
      <c r="P351" s="67">
        <v>0</v>
      </c>
      <c r="Q351" s="67">
        <v>0</v>
      </c>
    </row>
    <row r="352" spans="1:17" ht="28" customHeight="1" x14ac:dyDescent="0.35">
      <c r="A352" s="250"/>
      <c r="B352" s="251"/>
      <c r="C352" s="78"/>
      <c r="D352" s="73"/>
      <c r="E352" s="73"/>
      <c r="F352" s="66" t="s">
        <v>38</v>
      </c>
      <c r="G352" s="71">
        <f t="shared" si="213"/>
        <v>112277862</v>
      </c>
      <c r="H352" s="71">
        <f t="shared" si="209"/>
        <v>107069380</v>
      </c>
      <c r="I352" s="71">
        <f t="shared" si="209"/>
        <v>5208482</v>
      </c>
      <c r="J352" s="71">
        <f>K352+L352</f>
        <v>112277862</v>
      </c>
      <c r="K352" s="71">
        <f>100029321+1224823+800000+4000000+1015236</f>
        <v>107069380</v>
      </c>
      <c r="L352" s="71">
        <v>5208482</v>
      </c>
      <c r="M352" s="71">
        <v>0</v>
      </c>
      <c r="N352" s="71">
        <f>O352+P352</f>
        <v>0</v>
      </c>
      <c r="O352" s="71">
        <v>0</v>
      </c>
      <c r="P352" s="71">
        <v>0</v>
      </c>
      <c r="Q352" s="71">
        <v>0</v>
      </c>
    </row>
    <row r="353" spans="1:17" ht="28" customHeight="1" x14ac:dyDescent="0.35">
      <c r="A353" s="250"/>
      <c r="B353" s="251"/>
      <c r="C353" s="78"/>
      <c r="D353" s="73"/>
      <c r="E353" s="73"/>
      <c r="F353" s="66" t="s">
        <v>39</v>
      </c>
      <c r="G353" s="71">
        <f t="shared" si="213"/>
        <v>12762197</v>
      </c>
      <c r="H353" s="71">
        <f t="shared" si="209"/>
        <v>12762197</v>
      </c>
      <c r="I353" s="71">
        <f t="shared" si="209"/>
        <v>0</v>
      </c>
      <c r="J353" s="71">
        <f>K353+L353</f>
        <v>12762197</v>
      </c>
      <c r="K353" s="71">
        <v>12762197</v>
      </c>
      <c r="L353" s="71">
        <v>0</v>
      </c>
      <c r="M353" s="71">
        <v>0</v>
      </c>
      <c r="N353" s="71">
        <f>O353+P353</f>
        <v>0</v>
      </c>
      <c r="O353" s="71">
        <v>0</v>
      </c>
      <c r="P353" s="71">
        <v>0</v>
      </c>
      <c r="Q353" s="71">
        <v>0</v>
      </c>
    </row>
    <row r="354" spans="1:17" ht="28" customHeight="1" x14ac:dyDescent="0.35">
      <c r="A354" s="250"/>
      <c r="B354" s="251"/>
      <c r="C354" s="60">
        <v>0</v>
      </c>
      <c r="D354" s="102">
        <f>G355</f>
        <v>0</v>
      </c>
      <c r="E354" s="60">
        <v>0</v>
      </c>
      <c r="F354" s="61" t="s">
        <v>186</v>
      </c>
      <c r="G354" s="77">
        <f t="shared" si="213"/>
        <v>0</v>
      </c>
      <c r="H354" s="77">
        <f t="shared" si="209"/>
        <v>0</v>
      </c>
      <c r="I354" s="77">
        <f t="shared" si="209"/>
        <v>0</v>
      </c>
      <c r="J354" s="77">
        <f>J355</f>
        <v>0</v>
      </c>
      <c r="K354" s="60">
        <f t="shared" ref="K354:Q354" si="215">K355</f>
        <v>0</v>
      </c>
      <c r="L354" s="60">
        <f t="shared" si="215"/>
        <v>0</v>
      </c>
      <c r="M354" s="60">
        <f t="shared" si="215"/>
        <v>0</v>
      </c>
      <c r="N354" s="77">
        <f t="shared" si="215"/>
        <v>0</v>
      </c>
      <c r="O354" s="77">
        <f t="shared" si="215"/>
        <v>0</v>
      </c>
      <c r="P354" s="77">
        <f t="shared" si="215"/>
        <v>0</v>
      </c>
      <c r="Q354" s="60">
        <f t="shared" si="215"/>
        <v>0</v>
      </c>
    </row>
    <row r="355" spans="1:17" ht="28" customHeight="1" x14ac:dyDescent="0.35">
      <c r="A355" s="250"/>
      <c r="B355" s="251"/>
      <c r="C355" s="78"/>
      <c r="D355" s="78"/>
      <c r="E355" s="73"/>
      <c r="F355" s="66" t="s">
        <v>187</v>
      </c>
      <c r="G355" s="103">
        <f t="shared" si="213"/>
        <v>0</v>
      </c>
      <c r="H355" s="103">
        <f t="shared" si="209"/>
        <v>0</v>
      </c>
      <c r="I355" s="103">
        <f t="shared" si="209"/>
        <v>0</v>
      </c>
      <c r="J355" s="103">
        <f>K355+L355</f>
        <v>0</v>
      </c>
      <c r="K355" s="103">
        <v>0</v>
      </c>
      <c r="L355" s="103">
        <v>0</v>
      </c>
      <c r="M355" s="103">
        <v>0</v>
      </c>
      <c r="N355" s="103">
        <f>O355+P355</f>
        <v>0</v>
      </c>
      <c r="O355" s="103">
        <v>0</v>
      </c>
      <c r="P355" s="103">
        <v>0</v>
      </c>
      <c r="Q355" s="103">
        <v>0</v>
      </c>
    </row>
    <row r="356" spans="1:17" ht="28" customHeight="1" x14ac:dyDescent="0.35">
      <c r="A356" s="250" t="s">
        <v>311</v>
      </c>
      <c r="B356" s="251" t="s">
        <v>312</v>
      </c>
      <c r="C356" s="57">
        <f>C357+C361</f>
        <v>74484591</v>
      </c>
      <c r="D356" s="57">
        <f>D357+D361</f>
        <v>30500000</v>
      </c>
      <c r="E356" s="57">
        <f>E357+E361</f>
        <v>0</v>
      </c>
      <c r="F356" s="59" t="s">
        <v>313</v>
      </c>
      <c r="G356" s="58">
        <f t="shared" si="213"/>
        <v>119384591</v>
      </c>
      <c r="H356" s="58">
        <f t="shared" si="209"/>
        <v>119384591</v>
      </c>
      <c r="I356" s="58">
        <f t="shared" si="209"/>
        <v>0</v>
      </c>
      <c r="J356" s="58">
        <f>J357+J361</f>
        <v>119384591</v>
      </c>
      <c r="K356" s="58">
        <f t="shared" ref="K356:Q356" si="216">K357+K361</f>
        <v>119384591</v>
      </c>
      <c r="L356" s="58">
        <f t="shared" si="216"/>
        <v>0</v>
      </c>
      <c r="M356" s="58">
        <f t="shared" si="216"/>
        <v>0</v>
      </c>
      <c r="N356" s="58">
        <f t="shared" si="216"/>
        <v>0</v>
      </c>
      <c r="O356" s="58">
        <f t="shared" si="216"/>
        <v>0</v>
      </c>
      <c r="P356" s="58">
        <f t="shared" si="216"/>
        <v>0</v>
      </c>
      <c r="Q356" s="58">
        <f t="shared" si="216"/>
        <v>0</v>
      </c>
    </row>
    <row r="357" spans="1:17" ht="28" customHeight="1" x14ac:dyDescent="0.35">
      <c r="A357" s="250"/>
      <c r="B357" s="251"/>
      <c r="C357" s="69">
        <f>G359+G360</f>
        <v>74484591</v>
      </c>
      <c r="D357" s="60">
        <v>0</v>
      </c>
      <c r="E357" s="60">
        <v>0</v>
      </c>
      <c r="F357" s="61" t="s">
        <v>36</v>
      </c>
      <c r="G357" s="60">
        <f t="shared" si="213"/>
        <v>88884591</v>
      </c>
      <c r="H357" s="60">
        <f t="shared" si="209"/>
        <v>88884591</v>
      </c>
      <c r="I357" s="60">
        <f t="shared" si="209"/>
        <v>0</v>
      </c>
      <c r="J357" s="60">
        <f>J358+J359+J360</f>
        <v>88884591</v>
      </c>
      <c r="K357" s="60">
        <f t="shared" ref="K357:Q357" si="217">K358+K359+K360</f>
        <v>88884591</v>
      </c>
      <c r="L357" s="60">
        <f t="shared" si="217"/>
        <v>0</v>
      </c>
      <c r="M357" s="60">
        <f t="shared" si="217"/>
        <v>0</v>
      </c>
      <c r="N357" s="60">
        <f t="shared" si="217"/>
        <v>0</v>
      </c>
      <c r="O357" s="60">
        <f t="shared" si="217"/>
        <v>0</v>
      </c>
      <c r="P357" s="60">
        <f t="shared" si="217"/>
        <v>0</v>
      </c>
      <c r="Q357" s="60">
        <f t="shared" si="217"/>
        <v>0</v>
      </c>
    </row>
    <row r="358" spans="1:17" ht="28" customHeight="1" x14ac:dyDescent="0.35">
      <c r="A358" s="250"/>
      <c r="B358" s="251"/>
      <c r="C358" s="78"/>
      <c r="D358" s="73"/>
      <c r="E358" s="73"/>
      <c r="F358" s="66" t="s">
        <v>37</v>
      </c>
      <c r="G358" s="67">
        <f t="shared" si="213"/>
        <v>14400000</v>
      </c>
      <c r="H358" s="67">
        <f t="shared" si="209"/>
        <v>14400000</v>
      </c>
      <c r="I358" s="67">
        <f t="shared" si="209"/>
        <v>0</v>
      </c>
      <c r="J358" s="67">
        <f>K358+L358</f>
        <v>14400000</v>
      </c>
      <c r="K358" s="67">
        <f>14400000</f>
        <v>14400000</v>
      </c>
      <c r="L358" s="67">
        <v>0</v>
      </c>
      <c r="M358" s="67">
        <v>0</v>
      </c>
      <c r="N358" s="67">
        <f>O358+P358</f>
        <v>0</v>
      </c>
      <c r="O358" s="67">
        <v>0</v>
      </c>
      <c r="P358" s="67">
        <v>0</v>
      </c>
      <c r="Q358" s="67">
        <v>0</v>
      </c>
    </row>
    <row r="359" spans="1:17" ht="28" customHeight="1" x14ac:dyDescent="0.35">
      <c r="A359" s="250"/>
      <c r="B359" s="251"/>
      <c r="C359" s="78"/>
      <c r="D359" s="73"/>
      <c r="E359" s="73"/>
      <c r="F359" s="66" t="s">
        <v>38</v>
      </c>
      <c r="G359" s="71">
        <f t="shared" si="213"/>
        <v>51892518</v>
      </c>
      <c r="H359" s="71">
        <f t="shared" si="209"/>
        <v>51892518</v>
      </c>
      <c r="I359" s="71">
        <f t="shared" si="209"/>
        <v>0</v>
      </c>
      <c r="J359" s="71">
        <f>K359+L359</f>
        <v>51892518</v>
      </c>
      <c r="K359" s="71">
        <f>38256548+2504101+621333+5635912+4874624</f>
        <v>51892518</v>
      </c>
      <c r="L359" s="71">
        <v>0</v>
      </c>
      <c r="M359" s="71">
        <v>0</v>
      </c>
      <c r="N359" s="71">
        <f>O359+P359</f>
        <v>0</v>
      </c>
      <c r="O359" s="71">
        <v>0</v>
      </c>
      <c r="P359" s="71">
        <v>0</v>
      </c>
      <c r="Q359" s="71">
        <v>0</v>
      </c>
    </row>
    <row r="360" spans="1:17" ht="28" customHeight="1" x14ac:dyDescent="0.35">
      <c r="A360" s="250"/>
      <c r="B360" s="251"/>
      <c r="C360" s="78"/>
      <c r="D360" s="73"/>
      <c r="E360" s="73"/>
      <c r="F360" s="66" t="s">
        <v>39</v>
      </c>
      <c r="G360" s="71">
        <f t="shared" si="213"/>
        <v>22592073</v>
      </c>
      <c r="H360" s="71">
        <f t="shared" si="209"/>
        <v>22592073</v>
      </c>
      <c r="I360" s="71">
        <f t="shared" si="209"/>
        <v>0</v>
      </c>
      <c r="J360" s="71">
        <f>K360+L360</f>
        <v>22592073</v>
      </c>
      <c r="K360" s="71">
        <f>13772452+53277+2000000+344905+973080+190000+900000+340534+499808-1733926+5251943</f>
        <v>22592073</v>
      </c>
      <c r="L360" s="71">
        <v>0</v>
      </c>
      <c r="M360" s="71">
        <v>0</v>
      </c>
      <c r="N360" s="71">
        <f>O360+P360</f>
        <v>0</v>
      </c>
      <c r="O360" s="71">
        <v>0</v>
      </c>
      <c r="P360" s="71">
        <v>0</v>
      </c>
      <c r="Q360" s="71">
        <v>0</v>
      </c>
    </row>
    <row r="361" spans="1:17" ht="28" customHeight="1" x14ac:dyDescent="0.35">
      <c r="A361" s="250"/>
      <c r="B361" s="251"/>
      <c r="C361" s="60">
        <v>0</v>
      </c>
      <c r="D361" s="102">
        <f>G362</f>
        <v>30500000</v>
      </c>
      <c r="E361" s="60">
        <v>0</v>
      </c>
      <c r="F361" s="61" t="s">
        <v>186</v>
      </c>
      <c r="G361" s="60">
        <f t="shared" si="213"/>
        <v>30500000</v>
      </c>
      <c r="H361" s="60">
        <f t="shared" ref="H361:I382" si="218">K361+O361</f>
        <v>30500000</v>
      </c>
      <c r="I361" s="60">
        <f t="shared" si="218"/>
        <v>0</v>
      </c>
      <c r="J361" s="60">
        <f>J362</f>
        <v>30500000</v>
      </c>
      <c r="K361" s="60">
        <f t="shared" ref="K361:Q361" si="219">K362</f>
        <v>30500000</v>
      </c>
      <c r="L361" s="60">
        <f t="shared" si="219"/>
        <v>0</v>
      </c>
      <c r="M361" s="60">
        <f t="shared" si="219"/>
        <v>0</v>
      </c>
      <c r="N361" s="60">
        <f t="shared" si="219"/>
        <v>0</v>
      </c>
      <c r="O361" s="60">
        <f t="shared" si="219"/>
        <v>0</v>
      </c>
      <c r="P361" s="60">
        <f t="shared" si="219"/>
        <v>0</v>
      </c>
      <c r="Q361" s="60">
        <f t="shared" si="219"/>
        <v>0</v>
      </c>
    </row>
    <row r="362" spans="1:17" ht="28" customHeight="1" x14ac:dyDescent="0.35">
      <c r="A362" s="250"/>
      <c r="B362" s="251"/>
      <c r="C362" s="78"/>
      <c r="D362" s="78"/>
      <c r="E362" s="73"/>
      <c r="F362" s="66" t="s">
        <v>187</v>
      </c>
      <c r="G362" s="103">
        <f t="shared" si="213"/>
        <v>30500000</v>
      </c>
      <c r="H362" s="103">
        <f t="shared" si="218"/>
        <v>30500000</v>
      </c>
      <c r="I362" s="103">
        <f t="shared" si="218"/>
        <v>0</v>
      </c>
      <c r="J362" s="103">
        <f>K362+L362</f>
        <v>30500000</v>
      </c>
      <c r="K362" s="103">
        <v>30500000</v>
      </c>
      <c r="L362" s="103">
        <v>0</v>
      </c>
      <c r="M362" s="103">
        <v>0</v>
      </c>
      <c r="N362" s="103">
        <f>O362+P362</f>
        <v>0</v>
      </c>
      <c r="O362" s="103">
        <v>0</v>
      </c>
      <c r="P362" s="103">
        <v>0</v>
      </c>
      <c r="Q362" s="103">
        <v>0</v>
      </c>
    </row>
    <row r="363" spans="1:17" ht="28" customHeight="1" x14ac:dyDescent="0.35">
      <c r="A363" s="45" t="s">
        <v>763</v>
      </c>
      <c r="B363" s="46" t="s">
        <v>767</v>
      </c>
      <c r="C363" s="47">
        <f>C364</f>
        <v>0</v>
      </c>
      <c r="D363" s="47">
        <f t="shared" ref="D363:E363" si="220">D364</f>
        <v>0</v>
      </c>
      <c r="E363" s="47">
        <f t="shared" si="220"/>
        <v>0</v>
      </c>
      <c r="F363" s="49"/>
      <c r="G363" s="48">
        <f t="shared" si="213"/>
        <v>519345253</v>
      </c>
      <c r="H363" s="48">
        <f t="shared" si="218"/>
        <v>464677145</v>
      </c>
      <c r="I363" s="48">
        <f t="shared" si="218"/>
        <v>7468108</v>
      </c>
      <c r="J363" s="48">
        <f>J364</f>
        <v>472145253</v>
      </c>
      <c r="K363" s="48">
        <f t="shared" ref="K363:Q363" si="221">K364</f>
        <v>464677145</v>
      </c>
      <c r="L363" s="48">
        <f t="shared" si="221"/>
        <v>7468108</v>
      </c>
      <c r="M363" s="48">
        <f t="shared" si="221"/>
        <v>47200000</v>
      </c>
      <c r="N363" s="48">
        <f t="shared" si="221"/>
        <v>0</v>
      </c>
      <c r="O363" s="48">
        <f t="shared" si="221"/>
        <v>0</v>
      </c>
      <c r="P363" s="48">
        <f t="shared" si="221"/>
        <v>0</v>
      </c>
      <c r="Q363" s="48">
        <f t="shared" si="221"/>
        <v>0</v>
      </c>
    </row>
    <row r="364" spans="1:17" ht="28.5" x14ac:dyDescent="0.35">
      <c r="A364" s="228" t="s">
        <v>764</v>
      </c>
      <c r="B364" s="231" t="s">
        <v>765</v>
      </c>
      <c r="C364" s="52">
        <f>C365+C367</f>
        <v>0</v>
      </c>
      <c r="D364" s="52">
        <f t="shared" ref="D364:E364" si="222">D365+D367</f>
        <v>0</v>
      </c>
      <c r="E364" s="52">
        <f t="shared" si="222"/>
        <v>0</v>
      </c>
      <c r="F364" s="54" t="s">
        <v>766</v>
      </c>
      <c r="G364" s="52">
        <f t="shared" si="213"/>
        <v>519345253</v>
      </c>
      <c r="H364" s="52">
        <f t="shared" si="218"/>
        <v>464677145</v>
      </c>
      <c r="I364" s="52">
        <f t="shared" si="218"/>
        <v>7468108</v>
      </c>
      <c r="J364" s="52">
        <f>J365+J367</f>
        <v>472145253</v>
      </c>
      <c r="K364" s="52">
        <f>K365+K367</f>
        <v>464677145</v>
      </c>
      <c r="L364" s="52">
        <f>L365+L367</f>
        <v>7468108</v>
      </c>
      <c r="M364" s="52">
        <f t="shared" ref="M364:Q364" si="223">M365+M367</f>
        <v>47200000</v>
      </c>
      <c r="N364" s="52">
        <f t="shared" si="223"/>
        <v>0</v>
      </c>
      <c r="O364" s="52">
        <f t="shared" si="223"/>
        <v>0</v>
      </c>
      <c r="P364" s="52">
        <f t="shared" si="223"/>
        <v>0</v>
      </c>
      <c r="Q364" s="52">
        <f t="shared" si="223"/>
        <v>0</v>
      </c>
    </row>
    <row r="365" spans="1:17" ht="28.5" x14ac:dyDescent="0.35">
      <c r="A365" s="229"/>
      <c r="B365" s="232"/>
      <c r="C365" s="60"/>
      <c r="D365" s="60"/>
      <c r="E365" s="60"/>
      <c r="F365" s="61" t="s">
        <v>36</v>
      </c>
      <c r="G365" s="60">
        <f t="shared" si="213"/>
        <v>83020776</v>
      </c>
      <c r="H365" s="60">
        <f t="shared" si="218"/>
        <v>75552668</v>
      </c>
      <c r="I365" s="60">
        <f t="shared" si="218"/>
        <v>7468108</v>
      </c>
      <c r="J365" s="60">
        <f>J366</f>
        <v>83020776</v>
      </c>
      <c r="K365" s="60">
        <f t="shared" ref="K365:Q365" si="224">K366</f>
        <v>75552668</v>
      </c>
      <c r="L365" s="60">
        <f t="shared" si="224"/>
        <v>7468108</v>
      </c>
      <c r="M365" s="60">
        <f t="shared" si="224"/>
        <v>0</v>
      </c>
      <c r="N365" s="60">
        <f t="shared" si="224"/>
        <v>0</v>
      </c>
      <c r="O365" s="60">
        <f t="shared" si="224"/>
        <v>0</v>
      </c>
      <c r="P365" s="60">
        <f t="shared" si="224"/>
        <v>0</v>
      </c>
      <c r="Q365" s="60">
        <f t="shared" si="224"/>
        <v>0</v>
      </c>
    </row>
    <row r="366" spans="1:17" ht="28.5" x14ac:dyDescent="0.35">
      <c r="A366" s="229"/>
      <c r="B366" s="232"/>
      <c r="C366" s="199"/>
      <c r="D366" s="200"/>
      <c r="E366" s="200"/>
      <c r="F366" s="66" t="s">
        <v>37</v>
      </c>
      <c r="G366" s="67">
        <f t="shared" si="213"/>
        <v>83020776</v>
      </c>
      <c r="H366" s="67">
        <f t="shared" si="218"/>
        <v>75552668</v>
      </c>
      <c r="I366" s="67">
        <f t="shared" si="218"/>
        <v>7468108</v>
      </c>
      <c r="J366" s="67">
        <f>K366+L366</f>
        <v>83020776</v>
      </c>
      <c r="K366" s="67">
        <f>36958713+3737740+28856215+6000000</f>
        <v>75552668</v>
      </c>
      <c r="L366" s="67">
        <f>2986832+1072443+3408833</f>
        <v>7468108</v>
      </c>
      <c r="M366" s="67">
        <v>0</v>
      </c>
      <c r="N366" s="67">
        <f>O366+P366</f>
        <v>0</v>
      </c>
      <c r="O366" s="67">
        <v>0</v>
      </c>
      <c r="P366" s="67">
        <v>0</v>
      </c>
      <c r="Q366" s="68">
        <v>0</v>
      </c>
    </row>
    <row r="367" spans="1:17" ht="28.5" x14ac:dyDescent="0.35">
      <c r="A367" s="229"/>
      <c r="B367" s="232"/>
      <c r="C367" s="60"/>
      <c r="D367" s="60"/>
      <c r="E367" s="60"/>
      <c r="F367" s="61" t="s">
        <v>115</v>
      </c>
      <c r="G367" s="60">
        <f t="shared" si="213"/>
        <v>436324477</v>
      </c>
      <c r="H367" s="60">
        <f t="shared" si="218"/>
        <v>389124477</v>
      </c>
      <c r="I367" s="60">
        <f t="shared" si="218"/>
        <v>0</v>
      </c>
      <c r="J367" s="60">
        <f>J368</f>
        <v>389124477</v>
      </c>
      <c r="K367" s="60">
        <f t="shared" ref="K367:Q367" si="225">K368</f>
        <v>389124477</v>
      </c>
      <c r="L367" s="60">
        <f t="shared" si="225"/>
        <v>0</v>
      </c>
      <c r="M367" s="60">
        <f t="shared" si="225"/>
        <v>47200000</v>
      </c>
      <c r="N367" s="60">
        <f t="shared" si="225"/>
        <v>0</v>
      </c>
      <c r="O367" s="60">
        <f t="shared" si="225"/>
        <v>0</v>
      </c>
      <c r="P367" s="60">
        <f t="shared" si="225"/>
        <v>0</v>
      </c>
      <c r="Q367" s="60">
        <f t="shared" si="225"/>
        <v>0</v>
      </c>
    </row>
    <row r="368" spans="1:17" ht="28.5" x14ac:dyDescent="0.35">
      <c r="A368" s="230"/>
      <c r="B368" s="233"/>
      <c r="C368" s="199"/>
      <c r="D368" s="200"/>
      <c r="E368" s="200"/>
      <c r="F368" s="66" t="s">
        <v>116</v>
      </c>
      <c r="G368" s="67">
        <f t="shared" si="213"/>
        <v>436324477</v>
      </c>
      <c r="H368" s="67">
        <f t="shared" si="218"/>
        <v>389124477</v>
      </c>
      <c r="I368" s="67">
        <f t="shared" si="218"/>
        <v>0</v>
      </c>
      <c r="J368" s="67">
        <f>K368+L368</f>
        <v>389124477</v>
      </c>
      <c r="K368" s="67">
        <f>1262135+19804608+5474801+60331861+56125545+20416892+54104764+8677179+9800000+51042231+20416892+81667569</f>
        <v>389124477</v>
      </c>
      <c r="L368" s="67">
        <v>0</v>
      </c>
      <c r="M368" s="67">
        <f>17000000+30200000</f>
        <v>47200000</v>
      </c>
      <c r="N368" s="67">
        <f>O368+P368</f>
        <v>0</v>
      </c>
      <c r="O368" s="67">
        <v>0</v>
      </c>
      <c r="P368" s="67">
        <v>0</v>
      </c>
      <c r="Q368" s="68">
        <v>0</v>
      </c>
    </row>
    <row r="369" spans="1:21" s="111" customFormat="1" ht="52" x14ac:dyDescent="0.35">
      <c r="A369" s="39" t="s">
        <v>314</v>
      </c>
      <c r="B369" s="40" t="s">
        <v>315</v>
      </c>
      <c r="C369" s="41">
        <f>C370+C390+C407+C418+C431+C469+C488+C478+C492+C499</f>
        <v>337613503</v>
      </c>
      <c r="D369" s="41">
        <f t="shared" ref="D369:Q369" si="226">D370+D390+D407+D418+D431+D469+D488+D478+D492+D499</f>
        <v>805199800</v>
      </c>
      <c r="E369" s="41">
        <f t="shared" si="226"/>
        <v>63125000</v>
      </c>
      <c r="F369" s="41"/>
      <c r="G369" s="41">
        <f t="shared" si="226"/>
        <v>3115328401</v>
      </c>
      <c r="H369" s="41">
        <f t="shared" si="226"/>
        <v>3017639190</v>
      </c>
      <c r="I369" s="41">
        <f t="shared" si="226"/>
        <v>97689211</v>
      </c>
      <c r="J369" s="41">
        <f t="shared" si="226"/>
        <v>808775200</v>
      </c>
      <c r="K369" s="41">
        <f t="shared" si="226"/>
        <v>761085989</v>
      </c>
      <c r="L369" s="41">
        <f t="shared" si="226"/>
        <v>47689211</v>
      </c>
      <c r="M369" s="41">
        <f t="shared" si="226"/>
        <v>0</v>
      </c>
      <c r="N369" s="41">
        <f t="shared" si="226"/>
        <v>2306553201</v>
      </c>
      <c r="O369" s="41">
        <f t="shared" si="226"/>
        <v>2256553201</v>
      </c>
      <c r="P369" s="41">
        <f t="shared" si="226"/>
        <v>50000000</v>
      </c>
      <c r="Q369" s="41">
        <f t="shared" si="226"/>
        <v>0</v>
      </c>
    </row>
    <row r="370" spans="1:21" ht="28.5" x14ac:dyDescent="0.35">
      <c r="A370" s="45" t="s">
        <v>316</v>
      </c>
      <c r="B370" s="46" t="s">
        <v>317</v>
      </c>
      <c r="C370" s="47">
        <f>C371+C375+C378+C381+C384</f>
        <v>0</v>
      </c>
      <c r="D370" s="47">
        <f>D371+D375+D378+D381+D384</f>
        <v>120500000</v>
      </c>
      <c r="E370" s="48">
        <f>E371+E375+E378+E381+E384</f>
        <v>23000000</v>
      </c>
      <c r="F370" s="49"/>
      <c r="G370" s="48">
        <f t="shared" si="213"/>
        <v>532938339</v>
      </c>
      <c r="H370" s="48">
        <f t="shared" si="218"/>
        <v>520266623</v>
      </c>
      <c r="I370" s="48">
        <f t="shared" si="218"/>
        <v>12671716</v>
      </c>
      <c r="J370" s="48">
        <f>J371+J375+J378+J381+J384</f>
        <v>41316218</v>
      </c>
      <c r="K370" s="48">
        <f t="shared" ref="K370:Q370" si="227">K371+K375+K378+K381+K384</f>
        <v>37432291</v>
      </c>
      <c r="L370" s="48">
        <f t="shared" si="227"/>
        <v>3883927</v>
      </c>
      <c r="M370" s="48">
        <f t="shared" si="227"/>
        <v>0</v>
      </c>
      <c r="N370" s="48">
        <f t="shared" si="227"/>
        <v>491622121</v>
      </c>
      <c r="O370" s="48">
        <f t="shared" si="227"/>
        <v>482834332</v>
      </c>
      <c r="P370" s="48">
        <f t="shared" si="227"/>
        <v>8787789</v>
      </c>
      <c r="Q370" s="48">
        <f t="shared" si="227"/>
        <v>0</v>
      </c>
    </row>
    <row r="371" spans="1:21" ht="126" customHeight="1" x14ac:dyDescent="0.35">
      <c r="A371" s="241" t="s">
        <v>318</v>
      </c>
      <c r="B371" s="249" t="s">
        <v>319</v>
      </c>
      <c r="C371" s="52">
        <f>C372</f>
        <v>0</v>
      </c>
      <c r="D371" s="52">
        <f>D372</f>
        <v>120500000</v>
      </c>
      <c r="E371" s="53">
        <f>E372</f>
        <v>0</v>
      </c>
      <c r="F371" s="54" t="s">
        <v>320</v>
      </c>
      <c r="G371" s="52">
        <f t="shared" si="213"/>
        <v>375315692</v>
      </c>
      <c r="H371" s="52">
        <f t="shared" si="218"/>
        <v>367211082</v>
      </c>
      <c r="I371" s="52">
        <f t="shared" si="218"/>
        <v>8104610</v>
      </c>
      <c r="J371" s="52">
        <f>J372</f>
        <v>0</v>
      </c>
      <c r="K371" s="52">
        <f t="shared" ref="K371:Q371" si="228">K372</f>
        <v>0</v>
      </c>
      <c r="L371" s="52">
        <f t="shared" si="228"/>
        <v>0</v>
      </c>
      <c r="M371" s="52">
        <f t="shared" si="228"/>
        <v>0</v>
      </c>
      <c r="N371" s="52">
        <f t="shared" si="228"/>
        <v>375315692</v>
      </c>
      <c r="O371" s="52">
        <f t="shared" si="228"/>
        <v>367211082</v>
      </c>
      <c r="P371" s="52">
        <f t="shared" si="228"/>
        <v>8104610</v>
      </c>
      <c r="Q371" s="52">
        <f t="shared" si="228"/>
        <v>0</v>
      </c>
    </row>
    <row r="372" spans="1:21" ht="28" customHeight="1" x14ac:dyDescent="0.35">
      <c r="A372" s="241"/>
      <c r="B372" s="249"/>
      <c r="C372" s="60">
        <v>0</v>
      </c>
      <c r="D372" s="112">
        <f>G374</f>
        <v>120500000</v>
      </c>
      <c r="E372" s="60">
        <v>0</v>
      </c>
      <c r="F372" s="61" t="s">
        <v>321</v>
      </c>
      <c r="G372" s="60">
        <f t="shared" si="213"/>
        <v>375315692</v>
      </c>
      <c r="H372" s="60">
        <f t="shared" si="218"/>
        <v>367211082</v>
      </c>
      <c r="I372" s="60">
        <f t="shared" si="218"/>
        <v>8104610</v>
      </c>
      <c r="J372" s="60">
        <f>J373+J374</f>
        <v>0</v>
      </c>
      <c r="K372" s="60">
        <f t="shared" ref="K372:Q372" si="229">K373+K374</f>
        <v>0</v>
      </c>
      <c r="L372" s="60">
        <f t="shared" si="229"/>
        <v>0</v>
      </c>
      <c r="M372" s="60">
        <f t="shared" si="229"/>
        <v>0</v>
      </c>
      <c r="N372" s="60">
        <f t="shared" si="229"/>
        <v>375315692</v>
      </c>
      <c r="O372" s="60">
        <f t="shared" si="229"/>
        <v>367211082</v>
      </c>
      <c r="P372" s="60">
        <f t="shared" si="229"/>
        <v>8104610</v>
      </c>
      <c r="Q372" s="60">
        <f t="shared" si="229"/>
        <v>0</v>
      </c>
      <c r="U372" s="113"/>
    </row>
    <row r="373" spans="1:21" ht="28" customHeight="1" x14ac:dyDescent="0.35">
      <c r="A373" s="241"/>
      <c r="B373" s="249"/>
      <c r="C373" s="19"/>
      <c r="D373" s="19"/>
      <c r="E373" s="19"/>
      <c r="F373" s="66" t="s">
        <v>322</v>
      </c>
      <c r="G373" s="67">
        <f t="shared" si="213"/>
        <v>254815692</v>
      </c>
      <c r="H373" s="67">
        <f t="shared" si="218"/>
        <v>246711082</v>
      </c>
      <c r="I373" s="67">
        <f t="shared" si="218"/>
        <v>8104610</v>
      </c>
      <c r="J373" s="67">
        <f>K373+L373</f>
        <v>0</v>
      </c>
      <c r="K373" s="67">
        <v>0</v>
      </c>
      <c r="L373" s="67">
        <v>0</v>
      </c>
      <c r="M373" s="67">
        <v>0</v>
      </c>
      <c r="N373" s="67">
        <f>O373+P373</f>
        <v>254815692</v>
      </c>
      <c r="O373" s="67">
        <f>269525044-22813962</f>
        <v>246711082</v>
      </c>
      <c r="P373" s="67">
        <f>7000000+1104610</f>
        <v>8104610</v>
      </c>
      <c r="Q373" s="68">
        <v>0</v>
      </c>
    </row>
    <row r="374" spans="1:21" ht="28" customHeight="1" x14ac:dyDescent="0.35">
      <c r="A374" s="241"/>
      <c r="B374" s="249"/>
      <c r="C374" s="19"/>
      <c r="D374" s="19"/>
      <c r="E374" s="19"/>
      <c r="F374" s="66" t="s">
        <v>323</v>
      </c>
      <c r="G374" s="103">
        <f t="shared" si="213"/>
        <v>120500000</v>
      </c>
      <c r="H374" s="103">
        <f t="shared" si="218"/>
        <v>120500000</v>
      </c>
      <c r="I374" s="103">
        <f t="shared" si="218"/>
        <v>0</v>
      </c>
      <c r="J374" s="103">
        <f>K374+L374</f>
        <v>0</v>
      </c>
      <c r="K374" s="103">
        <v>0</v>
      </c>
      <c r="L374" s="103">
        <v>0</v>
      </c>
      <c r="M374" s="103">
        <v>0</v>
      </c>
      <c r="N374" s="103">
        <f>O374+P374</f>
        <v>120500000</v>
      </c>
      <c r="O374" s="103">
        <v>120500000</v>
      </c>
      <c r="P374" s="103">
        <v>0</v>
      </c>
      <c r="Q374" s="103">
        <v>0</v>
      </c>
    </row>
    <row r="375" spans="1:21" ht="107.5" customHeight="1" x14ac:dyDescent="0.35">
      <c r="A375" s="241" t="s">
        <v>324</v>
      </c>
      <c r="B375" s="249" t="s">
        <v>325</v>
      </c>
      <c r="C375" s="52">
        <f>C376</f>
        <v>0</v>
      </c>
      <c r="D375" s="52">
        <f>D376</f>
        <v>0</v>
      </c>
      <c r="E375" s="53">
        <f>E376</f>
        <v>0</v>
      </c>
      <c r="F375" s="54" t="s">
        <v>326</v>
      </c>
      <c r="G375" s="52">
        <f t="shared" si="213"/>
        <v>58670590</v>
      </c>
      <c r="H375" s="52">
        <f t="shared" si="218"/>
        <v>58670590</v>
      </c>
      <c r="I375" s="52">
        <f t="shared" si="218"/>
        <v>0</v>
      </c>
      <c r="J375" s="52">
        <f>J376</f>
        <v>0</v>
      </c>
      <c r="K375" s="52">
        <f t="shared" ref="K375:Q376" si="230">K376</f>
        <v>0</v>
      </c>
      <c r="L375" s="52">
        <f t="shared" si="230"/>
        <v>0</v>
      </c>
      <c r="M375" s="52">
        <f t="shared" si="230"/>
        <v>0</v>
      </c>
      <c r="N375" s="52">
        <f t="shared" si="230"/>
        <v>58670590</v>
      </c>
      <c r="O375" s="52">
        <f t="shared" si="230"/>
        <v>58670590</v>
      </c>
      <c r="P375" s="52">
        <f t="shared" si="230"/>
        <v>0</v>
      </c>
      <c r="Q375" s="52">
        <f t="shared" si="230"/>
        <v>0</v>
      </c>
    </row>
    <row r="376" spans="1:21" ht="28" customHeight="1" x14ac:dyDescent="0.35">
      <c r="A376" s="241"/>
      <c r="B376" s="249"/>
      <c r="C376" s="60">
        <v>0</v>
      </c>
      <c r="D376" s="60">
        <v>0</v>
      </c>
      <c r="E376" s="60">
        <v>0</v>
      </c>
      <c r="F376" s="61" t="s">
        <v>321</v>
      </c>
      <c r="G376" s="60">
        <f t="shared" si="213"/>
        <v>58670590</v>
      </c>
      <c r="H376" s="60">
        <f t="shared" si="218"/>
        <v>58670590</v>
      </c>
      <c r="I376" s="60">
        <f t="shared" si="218"/>
        <v>0</v>
      </c>
      <c r="J376" s="60">
        <f>J377</f>
        <v>0</v>
      </c>
      <c r="K376" s="60">
        <f t="shared" si="230"/>
        <v>0</v>
      </c>
      <c r="L376" s="60">
        <f t="shared" si="230"/>
        <v>0</v>
      </c>
      <c r="M376" s="60">
        <f t="shared" si="230"/>
        <v>0</v>
      </c>
      <c r="N376" s="60">
        <f t="shared" si="230"/>
        <v>58670590</v>
      </c>
      <c r="O376" s="60">
        <f t="shared" si="230"/>
        <v>58670590</v>
      </c>
      <c r="P376" s="60">
        <f t="shared" si="230"/>
        <v>0</v>
      </c>
      <c r="Q376" s="60">
        <f t="shared" si="230"/>
        <v>0</v>
      </c>
    </row>
    <row r="377" spans="1:21" ht="28" customHeight="1" x14ac:dyDescent="0.35">
      <c r="A377" s="241"/>
      <c r="B377" s="249"/>
      <c r="C377" s="19"/>
      <c r="D377" s="19"/>
      <c r="E377" s="19"/>
      <c r="F377" s="66" t="s">
        <v>322</v>
      </c>
      <c r="G377" s="67">
        <f t="shared" si="213"/>
        <v>58670590</v>
      </c>
      <c r="H377" s="67">
        <f t="shared" si="218"/>
        <v>58670590</v>
      </c>
      <c r="I377" s="67">
        <f t="shared" si="218"/>
        <v>0</v>
      </c>
      <c r="J377" s="67">
        <f>K377+L377</f>
        <v>0</v>
      </c>
      <c r="K377" s="67">
        <v>0</v>
      </c>
      <c r="L377" s="67">
        <v>0</v>
      </c>
      <c r="M377" s="67">
        <v>0</v>
      </c>
      <c r="N377" s="67">
        <f>O377+P377</f>
        <v>58670590</v>
      </c>
      <c r="O377" s="67">
        <f>41400000+17270590</f>
        <v>58670590</v>
      </c>
      <c r="P377" s="67">
        <v>0</v>
      </c>
      <c r="Q377" s="68">
        <v>0</v>
      </c>
    </row>
    <row r="378" spans="1:21" ht="73.5" customHeight="1" x14ac:dyDescent="0.35">
      <c r="A378" s="241" t="s">
        <v>327</v>
      </c>
      <c r="B378" s="249" t="s">
        <v>328</v>
      </c>
      <c r="C378" s="52">
        <f>C379</f>
        <v>0</v>
      </c>
      <c r="D378" s="52">
        <f>D379</f>
        <v>0</v>
      </c>
      <c r="E378" s="53">
        <f>E379</f>
        <v>0</v>
      </c>
      <c r="F378" s="54" t="s">
        <v>329</v>
      </c>
      <c r="G378" s="52">
        <f t="shared" si="213"/>
        <v>41611809</v>
      </c>
      <c r="H378" s="52">
        <f t="shared" si="218"/>
        <v>41270220</v>
      </c>
      <c r="I378" s="52">
        <f t="shared" si="218"/>
        <v>341589</v>
      </c>
      <c r="J378" s="52">
        <f>J379</f>
        <v>0</v>
      </c>
      <c r="K378" s="52">
        <f t="shared" ref="K378:Q379" si="231">K379</f>
        <v>0</v>
      </c>
      <c r="L378" s="52">
        <f t="shared" si="231"/>
        <v>0</v>
      </c>
      <c r="M378" s="52">
        <f t="shared" si="231"/>
        <v>0</v>
      </c>
      <c r="N378" s="52">
        <f t="shared" si="231"/>
        <v>41611809</v>
      </c>
      <c r="O378" s="52">
        <f t="shared" si="231"/>
        <v>41270220</v>
      </c>
      <c r="P378" s="52">
        <f t="shared" si="231"/>
        <v>341589</v>
      </c>
      <c r="Q378" s="52">
        <f t="shared" si="231"/>
        <v>0</v>
      </c>
      <c r="T378" s="113"/>
    </row>
    <row r="379" spans="1:21" ht="28" customHeight="1" x14ac:dyDescent="0.35">
      <c r="A379" s="241"/>
      <c r="B379" s="249"/>
      <c r="C379" s="60">
        <v>0</v>
      </c>
      <c r="D379" s="60">
        <v>0</v>
      </c>
      <c r="E379" s="60">
        <v>0</v>
      </c>
      <c r="F379" s="61" t="s">
        <v>321</v>
      </c>
      <c r="G379" s="60">
        <f t="shared" si="213"/>
        <v>41611809</v>
      </c>
      <c r="H379" s="60">
        <f t="shared" si="218"/>
        <v>41270220</v>
      </c>
      <c r="I379" s="60">
        <f t="shared" si="218"/>
        <v>341589</v>
      </c>
      <c r="J379" s="60">
        <f>J380</f>
        <v>0</v>
      </c>
      <c r="K379" s="60">
        <f t="shared" si="231"/>
        <v>0</v>
      </c>
      <c r="L379" s="60">
        <f t="shared" si="231"/>
        <v>0</v>
      </c>
      <c r="M379" s="60">
        <f t="shared" si="231"/>
        <v>0</v>
      </c>
      <c r="N379" s="60">
        <f t="shared" si="231"/>
        <v>41611809</v>
      </c>
      <c r="O379" s="60">
        <f t="shared" si="231"/>
        <v>41270220</v>
      </c>
      <c r="P379" s="60">
        <f t="shared" si="231"/>
        <v>341589</v>
      </c>
      <c r="Q379" s="60">
        <f t="shared" si="231"/>
        <v>0</v>
      </c>
    </row>
    <row r="380" spans="1:21" ht="28" customHeight="1" x14ac:dyDescent="0.35">
      <c r="A380" s="241"/>
      <c r="B380" s="249"/>
      <c r="C380" s="19"/>
      <c r="D380" s="19"/>
      <c r="E380" s="19"/>
      <c r="F380" s="66" t="s">
        <v>322</v>
      </c>
      <c r="G380" s="67">
        <f t="shared" si="213"/>
        <v>41611809</v>
      </c>
      <c r="H380" s="67">
        <f t="shared" si="218"/>
        <v>41270220</v>
      </c>
      <c r="I380" s="67">
        <f t="shared" si="218"/>
        <v>341589</v>
      </c>
      <c r="J380" s="67">
        <f>K380+L380</f>
        <v>0</v>
      </c>
      <c r="K380" s="67">
        <v>0</v>
      </c>
      <c r="L380" s="67">
        <v>0</v>
      </c>
      <c r="M380" s="67">
        <v>0</v>
      </c>
      <c r="N380" s="67">
        <f>O380+P380</f>
        <v>41611809</v>
      </c>
      <c r="O380" s="67">
        <f>34592000+6678220</f>
        <v>41270220</v>
      </c>
      <c r="P380" s="67">
        <f>5029000-4687411</f>
        <v>341589</v>
      </c>
      <c r="Q380" s="68">
        <v>0</v>
      </c>
    </row>
    <row r="381" spans="1:21" ht="73.5" customHeight="1" x14ac:dyDescent="0.35">
      <c r="A381" s="241" t="s">
        <v>330</v>
      </c>
      <c r="B381" s="249" t="s">
        <v>331</v>
      </c>
      <c r="C381" s="52">
        <f>C382</f>
        <v>0</v>
      </c>
      <c r="D381" s="52">
        <f>D382</f>
        <v>0</v>
      </c>
      <c r="E381" s="53">
        <f>E382</f>
        <v>0</v>
      </c>
      <c r="F381" s="54" t="s">
        <v>332</v>
      </c>
      <c r="G381" s="52">
        <f t="shared" si="213"/>
        <v>16024030</v>
      </c>
      <c r="H381" s="52">
        <f t="shared" si="218"/>
        <v>15682440</v>
      </c>
      <c r="I381" s="52">
        <f t="shared" si="218"/>
        <v>341590</v>
      </c>
      <c r="J381" s="52">
        <f>J382</f>
        <v>0</v>
      </c>
      <c r="K381" s="52">
        <f t="shared" ref="K381:Q382" si="232">K382</f>
        <v>0</v>
      </c>
      <c r="L381" s="52">
        <f t="shared" si="232"/>
        <v>0</v>
      </c>
      <c r="M381" s="52">
        <f t="shared" si="232"/>
        <v>0</v>
      </c>
      <c r="N381" s="52">
        <f t="shared" si="232"/>
        <v>16024030</v>
      </c>
      <c r="O381" s="52">
        <f t="shared" si="232"/>
        <v>15682440</v>
      </c>
      <c r="P381" s="52">
        <f t="shared" si="232"/>
        <v>341590</v>
      </c>
      <c r="Q381" s="52">
        <f t="shared" si="232"/>
        <v>0</v>
      </c>
    </row>
    <row r="382" spans="1:21" ht="28" customHeight="1" x14ac:dyDescent="0.35">
      <c r="A382" s="241"/>
      <c r="B382" s="249"/>
      <c r="C382" s="60">
        <v>0</v>
      </c>
      <c r="D382" s="60">
        <v>0</v>
      </c>
      <c r="E382" s="60">
        <v>0</v>
      </c>
      <c r="F382" s="61" t="s">
        <v>321</v>
      </c>
      <c r="G382" s="60">
        <f t="shared" si="213"/>
        <v>16024030</v>
      </c>
      <c r="H382" s="60">
        <f t="shared" si="218"/>
        <v>15682440</v>
      </c>
      <c r="I382" s="60">
        <f t="shared" si="218"/>
        <v>341590</v>
      </c>
      <c r="J382" s="60">
        <f>J383</f>
        <v>0</v>
      </c>
      <c r="K382" s="60">
        <f t="shared" si="232"/>
        <v>0</v>
      </c>
      <c r="L382" s="60">
        <f t="shared" si="232"/>
        <v>0</v>
      </c>
      <c r="M382" s="60">
        <f t="shared" si="232"/>
        <v>0</v>
      </c>
      <c r="N382" s="60">
        <f t="shared" si="232"/>
        <v>16024030</v>
      </c>
      <c r="O382" s="60">
        <f t="shared" si="232"/>
        <v>15682440</v>
      </c>
      <c r="P382" s="60">
        <f t="shared" si="232"/>
        <v>341590</v>
      </c>
      <c r="Q382" s="60">
        <f t="shared" si="232"/>
        <v>0</v>
      </c>
    </row>
    <row r="383" spans="1:21" ht="28" customHeight="1" x14ac:dyDescent="0.35">
      <c r="A383" s="241"/>
      <c r="B383" s="249"/>
      <c r="C383" s="19"/>
      <c r="D383" s="19"/>
      <c r="E383" s="19"/>
      <c r="F383" s="66" t="s">
        <v>322</v>
      </c>
      <c r="G383" s="67">
        <f t="shared" si="213"/>
        <v>16024030</v>
      </c>
      <c r="H383" s="67">
        <f t="shared" ref="H383:I403" si="233">K383+O383</f>
        <v>15682440</v>
      </c>
      <c r="I383" s="67">
        <f t="shared" si="233"/>
        <v>341590</v>
      </c>
      <c r="J383" s="67">
        <f>K383+L383</f>
        <v>0</v>
      </c>
      <c r="K383" s="67">
        <v>0</v>
      </c>
      <c r="L383" s="67">
        <v>0</v>
      </c>
      <c r="M383" s="67">
        <v>0</v>
      </c>
      <c r="N383" s="67">
        <f>O383+P383</f>
        <v>16024030</v>
      </c>
      <c r="O383" s="67">
        <f>12995000+2687440</f>
        <v>15682440</v>
      </c>
      <c r="P383" s="67">
        <f>250000+91590</f>
        <v>341590</v>
      </c>
      <c r="Q383" s="68">
        <v>0</v>
      </c>
    </row>
    <row r="384" spans="1:21" ht="28.5" x14ac:dyDescent="0.35">
      <c r="A384" s="241" t="s">
        <v>333</v>
      </c>
      <c r="B384" s="249" t="s">
        <v>334</v>
      </c>
      <c r="C384" s="52">
        <f>C385</f>
        <v>0</v>
      </c>
      <c r="D384" s="52">
        <f>D385</f>
        <v>0</v>
      </c>
      <c r="E384" s="53">
        <f>E385</f>
        <v>23000000</v>
      </c>
      <c r="F384" s="54" t="s">
        <v>335</v>
      </c>
      <c r="G384" s="52">
        <f t="shared" si="213"/>
        <v>41316218</v>
      </c>
      <c r="H384" s="52">
        <f t="shared" si="233"/>
        <v>37432291</v>
      </c>
      <c r="I384" s="52">
        <f t="shared" si="233"/>
        <v>3883927</v>
      </c>
      <c r="J384" s="52">
        <f>J385</f>
        <v>41316218</v>
      </c>
      <c r="K384" s="52">
        <f t="shared" ref="K384:Q384" si="234">K385</f>
        <v>37432291</v>
      </c>
      <c r="L384" s="52">
        <f t="shared" si="234"/>
        <v>3883927</v>
      </c>
      <c r="M384" s="52">
        <f t="shared" si="234"/>
        <v>0</v>
      </c>
      <c r="N384" s="52">
        <f t="shared" si="234"/>
        <v>0</v>
      </c>
      <c r="O384" s="52">
        <f t="shared" si="234"/>
        <v>0</v>
      </c>
      <c r="P384" s="52">
        <f t="shared" si="234"/>
        <v>0</v>
      </c>
      <c r="Q384" s="52">
        <f t="shared" si="234"/>
        <v>0</v>
      </c>
    </row>
    <row r="385" spans="1:24" ht="28" customHeight="1" x14ac:dyDescent="0.35">
      <c r="A385" s="241"/>
      <c r="B385" s="249"/>
      <c r="C385" s="99">
        <f>G387+G388</f>
        <v>0</v>
      </c>
      <c r="D385" s="60">
        <v>0</v>
      </c>
      <c r="E385" s="72">
        <f>G389</f>
        <v>23000000</v>
      </c>
      <c r="F385" s="61" t="s">
        <v>321</v>
      </c>
      <c r="G385" s="60">
        <f t="shared" si="213"/>
        <v>41316218</v>
      </c>
      <c r="H385" s="60">
        <f t="shared" si="233"/>
        <v>37432291</v>
      </c>
      <c r="I385" s="60">
        <f t="shared" si="233"/>
        <v>3883927</v>
      </c>
      <c r="J385" s="60">
        <f>J386+J387+J388+J389</f>
        <v>41316218</v>
      </c>
      <c r="K385" s="60">
        <f t="shared" ref="K385:Q385" si="235">K386+K387+K388+K389</f>
        <v>37432291</v>
      </c>
      <c r="L385" s="60">
        <f t="shared" si="235"/>
        <v>3883927</v>
      </c>
      <c r="M385" s="60">
        <f t="shared" si="235"/>
        <v>0</v>
      </c>
      <c r="N385" s="60">
        <f t="shared" si="235"/>
        <v>0</v>
      </c>
      <c r="O385" s="60">
        <f t="shared" si="235"/>
        <v>0</v>
      </c>
      <c r="P385" s="60">
        <f t="shared" si="235"/>
        <v>0</v>
      </c>
      <c r="Q385" s="60">
        <f t="shared" si="235"/>
        <v>0</v>
      </c>
    </row>
    <row r="386" spans="1:24" ht="28" customHeight="1" x14ac:dyDescent="0.35">
      <c r="A386" s="241"/>
      <c r="B386" s="249"/>
      <c r="C386" s="19"/>
      <c r="D386" s="19"/>
      <c r="E386" s="19"/>
      <c r="F386" s="66" t="s">
        <v>322</v>
      </c>
      <c r="G386" s="67">
        <f t="shared" si="213"/>
        <v>18316218</v>
      </c>
      <c r="H386" s="67">
        <f t="shared" si="233"/>
        <v>15062291</v>
      </c>
      <c r="I386" s="67">
        <f t="shared" si="233"/>
        <v>3253927</v>
      </c>
      <c r="J386" s="67">
        <f>K386+L386</f>
        <v>18316218</v>
      </c>
      <c r="K386" s="67">
        <f>27973552-12911261</f>
        <v>15062291</v>
      </c>
      <c r="L386" s="67">
        <f>232898+2000000+1021029</f>
        <v>3253927</v>
      </c>
      <c r="M386" s="67">
        <v>0</v>
      </c>
      <c r="N386" s="67">
        <f>O386+P386</f>
        <v>0</v>
      </c>
      <c r="O386" s="67">
        <v>0</v>
      </c>
      <c r="P386" s="67">
        <v>0</v>
      </c>
      <c r="Q386" s="67">
        <v>0</v>
      </c>
    </row>
    <row r="387" spans="1:24" ht="28" customHeight="1" x14ac:dyDescent="0.35">
      <c r="A387" s="241"/>
      <c r="B387" s="249"/>
      <c r="C387" s="19"/>
      <c r="D387" s="19"/>
      <c r="E387" s="19"/>
      <c r="F387" s="66" t="s">
        <v>336</v>
      </c>
      <c r="G387" s="71">
        <f t="shared" si="213"/>
        <v>0</v>
      </c>
      <c r="H387" s="71">
        <f t="shared" si="233"/>
        <v>0</v>
      </c>
      <c r="I387" s="71">
        <f t="shared" si="233"/>
        <v>0</v>
      </c>
      <c r="J387" s="71">
        <f>K387+L387</f>
        <v>0</v>
      </c>
      <c r="K387" s="71">
        <f>5800000-593485-2934135-2272380</f>
        <v>0</v>
      </c>
      <c r="L387" s="71">
        <f>1200000-1200000</f>
        <v>0</v>
      </c>
      <c r="M387" s="71">
        <v>0</v>
      </c>
      <c r="N387" s="71">
        <f>O387+P387</f>
        <v>0</v>
      </c>
      <c r="O387" s="71">
        <v>0</v>
      </c>
      <c r="P387" s="71">
        <v>0</v>
      </c>
      <c r="Q387" s="71">
        <v>0</v>
      </c>
    </row>
    <row r="388" spans="1:24" ht="28" customHeight="1" x14ac:dyDescent="0.35">
      <c r="A388" s="241"/>
      <c r="B388" s="249"/>
      <c r="C388" s="19"/>
      <c r="D388" s="19"/>
      <c r="E388" s="19"/>
      <c r="F388" s="66" t="s">
        <v>337</v>
      </c>
      <c r="G388" s="71">
        <f t="shared" si="213"/>
        <v>0</v>
      </c>
      <c r="H388" s="71">
        <f t="shared" si="233"/>
        <v>0</v>
      </c>
      <c r="I388" s="71">
        <f t="shared" si="233"/>
        <v>0</v>
      </c>
      <c r="J388" s="71">
        <f>K388+L388</f>
        <v>0</v>
      </c>
      <c r="K388" s="71">
        <v>0</v>
      </c>
      <c r="L388" s="71">
        <v>0</v>
      </c>
      <c r="M388" s="71">
        <v>0</v>
      </c>
      <c r="N388" s="71">
        <f>O388+P388</f>
        <v>0</v>
      </c>
      <c r="O388" s="71">
        <v>0</v>
      </c>
      <c r="P388" s="71">
        <v>0</v>
      </c>
      <c r="Q388" s="71">
        <v>0</v>
      </c>
    </row>
    <row r="389" spans="1:24" ht="28" customHeight="1" x14ac:dyDescent="0.35">
      <c r="A389" s="241"/>
      <c r="B389" s="249"/>
      <c r="C389" s="19"/>
      <c r="D389" s="19"/>
      <c r="E389" s="19"/>
      <c r="F389" s="66" t="s">
        <v>338</v>
      </c>
      <c r="G389" s="74">
        <f t="shared" si="213"/>
        <v>23000000</v>
      </c>
      <c r="H389" s="74">
        <f t="shared" si="233"/>
        <v>22370000</v>
      </c>
      <c r="I389" s="74">
        <f t="shared" si="233"/>
        <v>630000</v>
      </c>
      <c r="J389" s="74">
        <f>K389+L389</f>
        <v>23000000</v>
      </c>
      <c r="K389" s="74">
        <v>22370000</v>
      </c>
      <c r="L389" s="74">
        <v>630000</v>
      </c>
      <c r="M389" s="74">
        <v>0</v>
      </c>
      <c r="N389" s="74">
        <f>O389+P389</f>
        <v>0</v>
      </c>
      <c r="O389" s="74">
        <v>0</v>
      </c>
      <c r="P389" s="74">
        <v>0</v>
      </c>
      <c r="Q389" s="74">
        <v>0</v>
      </c>
    </row>
    <row r="390" spans="1:24" ht="30" customHeight="1" x14ac:dyDescent="0.35">
      <c r="A390" s="45" t="s">
        <v>339</v>
      </c>
      <c r="B390" s="46" t="s">
        <v>340</v>
      </c>
      <c r="C390" s="47">
        <f>C391+C394+C398</f>
        <v>241886583</v>
      </c>
      <c r="D390" s="47">
        <f>D391+D394+D398</f>
        <v>113334000</v>
      </c>
      <c r="E390" s="48">
        <f>E391+E394+E398</f>
        <v>0</v>
      </c>
      <c r="F390" s="49"/>
      <c r="G390" s="48">
        <f t="shared" si="213"/>
        <v>645632672</v>
      </c>
      <c r="H390" s="48">
        <f t="shared" si="233"/>
        <v>620709671</v>
      </c>
      <c r="I390" s="48">
        <f t="shared" si="233"/>
        <v>24923001</v>
      </c>
      <c r="J390" s="48">
        <f>J391+J394+J398</f>
        <v>277886583</v>
      </c>
      <c r="K390" s="48">
        <f t="shared" ref="K390:Q390" si="236">K391+K394+K398</f>
        <v>259710270</v>
      </c>
      <c r="L390" s="48">
        <f t="shared" si="236"/>
        <v>18176313</v>
      </c>
      <c r="M390" s="48">
        <f t="shared" si="236"/>
        <v>0</v>
      </c>
      <c r="N390" s="48">
        <f t="shared" si="236"/>
        <v>367746089</v>
      </c>
      <c r="O390" s="48">
        <f t="shared" si="236"/>
        <v>360999401</v>
      </c>
      <c r="P390" s="48">
        <f t="shared" si="236"/>
        <v>6746688</v>
      </c>
      <c r="Q390" s="48">
        <f t="shared" si="236"/>
        <v>0</v>
      </c>
    </row>
    <row r="391" spans="1:24" ht="208" customHeight="1" x14ac:dyDescent="0.35">
      <c r="A391" s="241" t="s">
        <v>341</v>
      </c>
      <c r="B391" s="242" t="s">
        <v>342</v>
      </c>
      <c r="C391" s="52">
        <f>C392</f>
        <v>0</v>
      </c>
      <c r="D391" s="52">
        <f>D392</f>
        <v>0</v>
      </c>
      <c r="E391" s="53">
        <f>E392</f>
        <v>0</v>
      </c>
      <c r="F391" s="54" t="s">
        <v>343</v>
      </c>
      <c r="G391" s="52">
        <f t="shared" si="213"/>
        <v>118017450</v>
      </c>
      <c r="H391" s="52">
        <f t="shared" si="233"/>
        <v>112297138</v>
      </c>
      <c r="I391" s="52">
        <f t="shared" si="233"/>
        <v>5720312</v>
      </c>
      <c r="J391" s="52">
        <f>J392</f>
        <v>0</v>
      </c>
      <c r="K391" s="52">
        <f t="shared" ref="K391:Q392" si="237">K392</f>
        <v>0</v>
      </c>
      <c r="L391" s="52">
        <f t="shared" si="237"/>
        <v>0</v>
      </c>
      <c r="M391" s="52">
        <f t="shared" si="237"/>
        <v>0</v>
      </c>
      <c r="N391" s="52">
        <f t="shared" si="237"/>
        <v>118017450</v>
      </c>
      <c r="O391" s="52">
        <f t="shared" si="237"/>
        <v>112297138</v>
      </c>
      <c r="P391" s="52">
        <f t="shared" si="237"/>
        <v>5720312</v>
      </c>
      <c r="Q391" s="52">
        <f t="shared" si="237"/>
        <v>0</v>
      </c>
    </row>
    <row r="392" spans="1:24" ht="28" customHeight="1" x14ac:dyDescent="0.35">
      <c r="A392" s="241"/>
      <c r="B392" s="242"/>
      <c r="C392" s="19">
        <v>0</v>
      </c>
      <c r="D392" s="60">
        <v>0</v>
      </c>
      <c r="E392" s="60">
        <v>0</v>
      </c>
      <c r="F392" s="61" t="s">
        <v>34</v>
      </c>
      <c r="G392" s="60">
        <f t="shared" si="213"/>
        <v>118017450</v>
      </c>
      <c r="H392" s="60">
        <f t="shared" si="233"/>
        <v>112297138</v>
      </c>
      <c r="I392" s="60">
        <f t="shared" si="233"/>
        <v>5720312</v>
      </c>
      <c r="J392" s="60">
        <f>J393</f>
        <v>0</v>
      </c>
      <c r="K392" s="60">
        <f t="shared" si="237"/>
        <v>0</v>
      </c>
      <c r="L392" s="60">
        <f t="shared" si="237"/>
        <v>0</v>
      </c>
      <c r="M392" s="60">
        <f t="shared" si="237"/>
        <v>0</v>
      </c>
      <c r="N392" s="60">
        <f t="shared" si="237"/>
        <v>118017450</v>
      </c>
      <c r="O392" s="60">
        <f t="shared" si="237"/>
        <v>112297138</v>
      </c>
      <c r="P392" s="60">
        <f t="shared" si="237"/>
        <v>5720312</v>
      </c>
      <c r="Q392" s="60">
        <f t="shared" si="237"/>
        <v>0</v>
      </c>
    </row>
    <row r="393" spans="1:24" ht="28" customHeight="1" x14ac:dyDescent="0.35">
      <c r="A393" s="241"/>
      <c r="B393" s="242"/>
      <c r="C393" s="19"/>
      <c r="D393" s="19"/>
      <c r="E393" s="19"/>
      <c r="F393" s="66" t="s">
        <v>35</v>
      </c>
      <c r="G393" s="67">
        <f t="shared" si="213"/>
        <v>118017450</v>
      </c>
      <c r="H393" s="67">
        <f t="shared" si="233"/>
        <v>112297138</v>
      </c>
      <c r="I393" s="67">
        <f t="shared" si="233"/>
        <v>5720312</v>
      </c>
      <c r="J393" s="67">
        <f>K393+L393</f>
        <v>0</v>
      </c>
      <c r="K393" s="67">
        <v>0</v>
      </c>
      <c r="L393" s="67">
        <v>0</v>
      </c>
      <c r="M393" s="67">
        <v>0</v>
      </c>
      <c r="N393" s="67">
        <f>O393+P393</f>
        <v>118017450</v>
      </c>
      <c r="O393" s="67">
        <f>121321992-9024854</f>
        <v>112297138</v>
      </c>
      <c r="P393" s="67">
        <f>3746688+1973624</f>
        <v>5720312</v>
      </c>
      <c r="Q393" s="68">
        <v>0</v>
      </c>
    </row>
    <row r="394" spans="1:24" ht="185.5" customHeight="1" x14ac:dyDescent="0.35">
      <c r="A394" s="241" t="s">
        <v>344</v>
      </c>
      <c r="B394" s="242" t="s">
        <v>345</v>
      </c>
      <c r="C394" s="52">
        <f>C395</f>
        <v>0</v>
      </c>
      <c r="D394" s="52">
        <f>D395</f>
        <v>87334000</v>
      </c>
      <c r="E394" s="53">
        <f>E395</f>
        <v>0</v>
      </c>
      <c r="F394" s="54" t="s">
        <v>346</v>
      </c>
      <c r="G394" s="52">
        <f t="shared" si="213"/>
        <v>249728639</v>
      </c>
      <c r="H394" s="52">
        <f t="shared" si="233"/>
        <v>248702263</v>
      </c>
      <c r="I394" s="52">
        <f t="shared" si="233"/>
        <v>1026376</v>
      </c>
      <c r="J394" s="52">
        <f>J395</f>
        <v>0</v>
      </c>
      <c r="K394" s="52">
        <f t="shared" ref="K394:Q394" si="238">K395</f>
        <v>0</v>
      </c>
      <c r="L394" s="52">
        <f t="shared" si="238"/>
        <v>0</v>
      </c>
      <c r="M394" s="52">
        <f t="shared" si="238"/>
        <v>0</v>
      </c>
      <c r="N394" s="52">
        <f t="shared" si="238"/>
        <v>249728639</v>
      </c>
      <c r="O394" s="52">
        <f t="shared" si="238"/>
        <v>248702263</v>
      </c>
      <c r="P394" s="52">
        <f t="shared" si="238"/>
        <v>1026376</v>
      </c>
      <c r="Q394" s="52">
        <f t="shared" si="238"/>
        <v>0</v>
      </c>
    </row>
    <row r="395" spans="1:24" ht="28" customHeight="1" x14ac:dyDescent="0.35">
      <c r="A395" s="241"/>
      <c r="B395" s="242"/>
      <c r="C395" s="60">
        <v>0</v>
      </c>
      <c r="D395" s="112">
        <f>G397</f>
        <v>87334000</v>
      </c>
      <c r="E395" s="60">
        <v>0</v>
      </c>
      <c r="F395" s="61" t="s">
        <v>34</v>
      </c>
      <c r="G395" s="60">
        <f t="shared" si="213"/>
        <v>249728639</v>
      </c>
      <c r="H395" s="60">
        <f t="shared" si="233"/>
        <v>248702263</v>
      </c>
      <c r="I395" s="60">
        <f t="shared" si="233"/>
        <v>1026376</v>
      </c>
      <c r="J395" s="60">
        <f>J396+J397</f>
        <v>0</v>
      </c>
      <c r="K395" s="60">
        <f t="shared" ref="K395:Q395" si="239">K396+K397</f>
        <v>0</v>
      </c>
      <c r="L395" s="60">
        <f t="shared" si="239"/>
        <v>0</v>
      </c>
      <c r="M395" s="60">
        <f t="shared" si="239"/>
        <v>0</v>
      </c>
      <c r="N395" s="60">
        <f t="shared" si="239"/>
        <v>249728639</v>
      </c>
      <c r="O395" s="60">
        <f t="shared" si="239"/>
        <v>248702263</v>
      </c>
      <c r="P395" s="60">
        <f t="shared" si="239"/>
        <v>1026376</v>
      </c>
      <c r="Q395" s="60">
        <f t="shared" si="239"/>
        <v>0</v>
      </c>
    </row>
    <row r="396" spans="1:24" ht="28" customHeight="1" x14ac:dyDescent="0.35">
      <c r="A396" s="241"/>
      <c r="B396" s="242"/>
      <c r="C396" s="19"/>
      <c r="D396" s="19"/>
      <c r="E396" s="19"/>
      <c r="F396" s="66" t="s">
        <v>35</v>
      </c>
      <c r="G396" s="67">
        <f t="shared" si="213"/>
        <v>162394639</v>
      </c>
      <c r="H396" s="67">
        <f t="shared" si="233"/>
        <v>161368263</v>
      </c>
      <c r="I396" s="67">
        <f t="shared" si="233"/>
        <v>1026376</v>
      </c>
      <c r="J396" s="67">
        <f>K396+L396</f>
        <v>0</v>
      </c>
      <c r="K396" s="67">
        <v>0</v>
      </c>
      <c r="L396" s="67">
        <v>0</v>
      </c>
      <c r="M396" s="67">
        <v>0</v>
      </c>
      <c r="N396" s="67">
        <f>O396+P396</f>
        <v>162394639</v>
      </c>
      <c r="O396" s="67">
        <f>119366000+27977409+14024854</f>
        <v>161368263</v>
      </c>
      <c r="P396" s="67">
        <f>3000000-1973624</f>
        <v>1026376</v>
      </c>
      <c r="Q396" s="68">
        <v>0</v>
      </c>
    </row>
    <row r="397" spans="1:24" ht="28" customHeight="1" x14ac:dyDescent="0.35">
      <c r="A397" s="241"/>
      <c r="B397" s="242"/>
      <c r="C397" s="19"/>
      <c r="D397" s="19"/>
      <c r="E397" s="19"/>
      <c r="F397" s="66" t="s">
        <v>347</v>
      </c>
      <c r="G397" s="103">
        <f t="shared" si="213"/>
        <v>87334000</v>
      </c>
      <c r="H397" s="103">
        <f t="shared" si="233"/>
        <v>87334000</v>
      </c>
      <c r="I397" s="103">
        <f t="shared" si="233"/>
        <v>0</v>
      </c>
      <c r="J397" s="103">
        <f>K397+L397</f>
        <v>0</v>
      </c>
      <c r="K397" s="103">
        <v>0</v>
      </c>
      <c r="L397" s="103">
        <v>0</v>
      </c>
      <c r="M397" s="103">
        <v>0</v>
      </c>
      <c r="N397" s="103">
        <f>O397+P397</f>
        <v>87334000</v>
      </c>
      <c r="O397" s="103">
        <v>87334000</v>
      </c>
      <c r="P397" s="103">
        <v>0</v>
      </c>
      <c r="Q397" s="103">
        <v>0</v>
      </c>
    </row>
    <row r="398" spans="1:24" ht="28.5" x14ac:dyDescent="0.35">
      <c r="A398" s="241" t="s">
        <v>348</v>
      </c>
      <c r="B398" s="242" t="s">
        <v>349</v>
      </c>
      <c r="C398" s="52">
        <f>C399+C403+C405</f>
        <v>241886583</v>
      </c>
      <c r="D398" s="52">
        <f>D399+D403+D405</f>
        <v>26000000</v>
      </c>
      <c r="E398" s="52">
        <f>E399+E403+E405</f>
        <v>0</v>
      </c>
      <c r="F398" s="54" t="s">
        <v>350</v>
      </c>
      <c r="G398" s="52">
        <f t="shared" si="213"/>
        <v>277886583</v>
      </c>
      <c r="H398" s="52">
        <f t="shared" si="233"/>
        <v>259710270</v>
      </c>
      <c r="I398" s="52">
        <f t="shared" si="233"/>
        <v>18176313</v>
      </c>
      <c r="J398" s="52">
        <f>J399+J403+J405</f>
        <v>277886583</v>
      </c>
      <c r="K398" s="52">
        <f t="shared" ref="K398:Q398" si="240">K399+K403+K405</f>
        <v>259710270</v>
      </c>
      <c r="L398" s="52">
        <f t="shared" si="240"/>
        <v>18176313</v>
      </c>
      <c r="M398" s="52">
        <f t="shared" si="240"/>
        <v>0</v>
      </c>
      <c r="N398" s="52">
        <f t="shared" si="240"/>
        <v>0</v>
      </c>
      <c r="O398" s="52">
        <f t="shared" si="240"/>
        <v>0</v>
      </c>
      <c r="P398" s="52">
        <f t="shared" si="240"/>
        <v>0</v>
      </c>
      <c r="Q398" s="52">
        <f t="shared" si="240"/>
        <v>0</v>
      </c>
    </row>
    <row r="399" spans="1:24" ht="28" customHeight="1" x14ac:dyDescent="0.35">
      <c r="A399" s="241"/>
      <c r="B399" s="242"/>
      <c r="C399" s="69">
        <f>G401+G402</f>
        <v>241886583</v>
      </c>
      <c r="D399" s="60">
        <v>0</v>
      </c>
      <c r="E399" s="60">
        <v>0</v>
      </c>
      <c r="F399" s="61" t="s">
        <v>36</v>
      </c>
      <c r="G399" s="60">
        <f t="shared" si="213"/>
        <v>241886583</v>
      </c>
      <c r="H399" s="60">
        <f t="shared" si="233"/>
        <v>229932918</v>
      </c>
      <c r="I399" s="60">
        <f t="shared" si="233"/>
        <v>11953665</v>
      </c>
      <c r="J399" s="60">
        <f>J400+J401+J402</f>
        <v>241886583</v>
      </c>
      <c r="K399" s="60">
        <f t="shared" ref="K399:Q399" si="241">K400+K401+K402</f>
        <v>229932918</v>
      </c>
      <c r="L399" s="60">
        <f t="shared" si="241"/>
        <v>11953665</v>
      </c>
      <c r="M399" s="60">
        <f t="shared" si="241"/>
        <v>0</v>
      </c>
      <c r="N399" s="60">
        <f t="shared" si="241"/>
        <v>0</v>
      </c>
      <c r="O399" s="60">
        <f t="shared" si="241"/>
        <v>0</v>
      </c>
      <c r="P399" s="60">
        <f t="shared" si="241"/>
        <v>0</v>
      </c>
      <c r="Q399" s="60">
        <f t="shared" si="241"/>
        <v>0</v>
      </c>
    </row>
    <row r="400" spans="1:24" s="76" customFormat="1" ht="28" customHeight="1" x14ac:dyDescent="0.35">
      <c r="A400" s="241"/>
      <c r="B400" s="242"/>
      <c r="C400" s="79"/>
      <c r="D400" s="79"/>
      <c r="E400" s="79"/>
      <c r="F400" s="66" t="s">
        <v>37</v>
      </c>
      <c r="G400" s="67">
        <f t="shared" si="213"/>
        <v>0</v>
      </c>
      <c r="H400" s="67">
        <f t="shared" si="233"/>
        <v>0</v>
      </c>
      <c r="I400" s="67">
        <f t="shared" si="233"/>
        <v>0</v>
      </c>
      <c r="J400" s="67">
        <f>K400+L400</f>
        <v>0</v>
      </c>
      <c r="K400" s="67">
        <f>0</f>
        <v>0</v>
      </c>
      <c r="L400" s="67">
        <v>0</v>
      </c>
      <c r="M400" s="67">
        <v>0</v>
      </c>
      <c r="N400" s="67">
        <f>O400+P400</f>
        <v>0</v>
      </c>
      <c r="O400" s="67">
        <v>0</v>
      </c>
      <c r="P400" s="67">
        <v>0</v>
      </c>
      <c r="Q400" s="68">
        <v>0</v>
      </c>
      <c r="X400" s="114"/>
    </row>
    <row r="401" spans="1:24" ht="28" customHeight="1" x14ac:dyDescent="0.35">
      <c r="A401" s="241"/>
      <c r="B401" s="242"/>
      <c r="C401" s="79"/>
      <c r="D401" s="79"/>
      <c r="E401" s="79"/>
      <c r="F401" s="66" t="s">
        <v>38</v>
      </c>
      <c r="G401" s="71">
        <f t="shared" si="213"/>
        <v>203829474</v>
      </c>
      <c r="H401" s="71">
        <f t="shared" si="233"/>
        <v>191875809</v>
      </c>
      <c r="I401" s="71">
        <f t="shared" si="233"/>
        <v>11953665</v>
      </c>
      <c r="J401" s="71">
        <f>K401+L401</f>
        <v>203829474</v>
      </c>
      <c r="K401" s="71">
        <f>188855160+1283334+220671+981347-220712+756009</f>
        <v>191875809</v>
      </c>
      <c r="L401" s="71">
        <f>10003665+1950000</f>
        <v>11953665</v>
      </c>
      <c r="M401" s="71">
        <v>0</v>
      </c>
      <c r="N401" s="71">
        <f>O401+P401</f>
        <v>0</v>
      </c>
      <c r="O401" s="71">
        <v>0</v>
      </c>
      <c r="P401" s="71">
        <v>0</v>
      </c>
      <c r="Q401" s="71">
        <v>0</v>
      </c>
      <c r="X401" s="113"/>
    </row>
    <row r="402" spans="1:24" ht="28" customHeight="1" x14ac:dyDescent="0.35">
      <c r="A402" s="241"/>
      <c r="B402" s="242"/>
      <c r="C402" s="79"/>
      <c r="D402" s="79"/>
      <c r="E402" s="79"/>
      <c r="F402" s="66" t="s">
        <v>39</v>
      </c>
      <c r="G402" s="71">
        <f t="shared" si="213"/>
        <v>38057109</v>
      </c>
      <c r="H402" s="71">
        <f t="shared" si="233"/>
        <v>38057109</v>
      </c>
      <c r="I402" s="71">
        <f t="shared" si="233"/>
        <v>0</v>
      </c>
      <c r="J402" s="71">
        <f>K402+L402</f>
        <v>38057109</v>
      </c>
      <c r="K402" s="71">
        <f>27034725+1349058+264627+254980+57648+60270+100000+155338+6872315-697417+2605565</f>
        <v>38057109</v>
      </c>
      <c r="L402" s="71">
        <v>0</v>
      </c>
      <c r="M402" s="71">
        <v>0</v>
      </c>
      <c r="N402" s="71">
        <f>O402+P402</f>
        <v>0</v>
      </c>
      <c r="O402" s="71">
        <v>0</v>
      </c>
      <c r="P402" s="71">
        <v>0</v>
      </c>
      <c r="Q402" s="71">
        <v>0</v>
      </c>
    </row>
    <row r="403" spans="1:24" ht="28" customHeight="1" x14ac:dyDescent="0.35">
      <c r="A403" s="241"/>
      <c r="B403" s="242"/>
      <c r="C403" s="60">
        <v>0</v>
      </c>
      <c r="D403" s="102">
        <f>G404</f>
        <v>26000000</v>
      </c>
      <c r="E403" s="60">
        <v>0</v>
      </c>
      <c r="F403" s="61" t="s">
        <v>186</v>
      </c>
      <c r="G403" s="60">
        <f t="shared" si="213"/>
        <v>26000000</v>
      </c>
      <c r="H403" s="60">
        <f t="shared" si="233"/>
        <v>21000000</v>
      </c>
      <c r="I403" s="60">
        <f t="shared" si="233"/>
        <v>5000000</v>
      </c>
      <c r="J403" s="60">
        <f>J404</f>
        <v>26000000</v>
      </c>
      <c r="K403" s="60">
        <f t="shared" ref="K403:Q403" si="242">K404</f>
        <v>21000000</v>
      </c>
      <c r="L403" s="60">
        <f t="shared" si="242"/>
        <v>5000000</v>
      </c>
      <c r="M403" s="60">
        <f t="shared" si="242"/>
        <v>0</v>
      </c>
      <c r="N403" s="60">
        <f t="shared" si="242"/>
        <v>0</v>
      </c>
      <c r="O403" s="60">
        <f t="shared" si="242"/>
        <v>0</v>
      </c>
      <c r="P403" s="60">
        <f t="shared" si="242"/>
        <v>0</v>
      </c>
      <c r="Q403" s="60">
        <f t="shared" si="242"/>
        <v>0</v>
      </c>
    </row>
    <row r="404" spans="1:24" ht="28" customHeight="1" x14ac:dyDescent="0.35">
      <c r="A404" s="241"/>
      <c r="B404" s="242"/>
      <c r="C404" s="79"/>
      <c r="D404" s="1"/>
      <c r="E404" s="79"/>
      <c r="F404" s="66" t="s">
        <v>187</v>
      </c>
      <c r="G404" s="103">
        <f t="shared" si="213"/>
        <v>26000000</v>
      </c>
      <c r="H404" s="103">
        <f t="shared" ref="H404:I409" si="243">K404+O404</f>
        <v>21000000</v>
      </c>
      <c r="I404" s="103">
        <f t="shared" si="243"/>
        <v>5000000</v>
      </c>
      <c r="J404" s="103">
        <f>K404+L404</f>
        <v>26000000</v>
      </c>
      <c r="K404" s="103">
        <f>15000000+6000000</f>
        <v>21000000</v>
      </c>
      <c r="L404" s="103">
        <v>5000000</v>
      </c>
      <c r="M404" s="103">
        <v>0</v>
      </c>
      <c r="N404" s="103">
        <f>O404+P404</f>
        <v>0</v>
      </c>
      <c r="O404" s="103">
        <v>0</v>
      </c>
      <c r="P404" s="103">
        <v>0</v>
      </c>
      <c r="Q404" s="103">
        <v>0</v>
      </c>
    </row>
    <row r="405" spans="1:24" ht="28" customHeight="1" x14ac:dyDescent="0.35">
      <c r="A405" s="241"/>
      <c r="B405" s="242"/>
      <c r="C405" s="60">
        <v>0</v>
      </c>
      <c r="D405" s="60">
        <v>0</v>
      </c>
      <c r="E405" s="60">
        <v>0</v>
      </c>
      <c r="F405" s="61" t="s">
        <v>34</v>
      </c>
      <c r="G405" s="60">
        <f t="shared" si="213"/>
        <v>10000000</v>
      </c>
      <c r="H405" s="60">
        <f t="shared" si="243"/>
        <v>8777352</v>
      </c>
      <c r="I405" s="60">
        <f t="shared" si="243"/>
        <v>1222648</v>
      </c>
      <c r="J405" s="60">
        <f>J406</f>
        <v>10000000</v>
      </c>
      <c r="K405" s="60">
        <f t="shared" ref="K405:Q405" si="244">K406</f>
        <v>8777352</v>
      </c>
      <c r="L405" s="60">
        <f t="shared" si="244"/>
        <v>1222648</v>
      </c>
      <c r="M405" s="60">
        <f t="shared" si="244"/>
        <v>0</v>
      </c>
      <c r="N405" s="60">
        <f t="shared" si="244"/>
        <v>0</v>
      </c>
      <c r="O405" s="60">
        <f t="shared" si="244"/>
        <v>0</v>
      </c>
      <c r="P405" s="60">
        <f t="shared" si="244"/>
        <v>0</v>
      </c>
      <c r="Q405" s="60">
        <f t="shared" si="244"/>
        <v>0</v>
      </c>
    </row>
    <row r="406" spans="1:24" ht="28" customHeight="1" x14ac:dyDescent="0.35">
      <c r="A406" s="241"/>
      <c r="B406" s="242"/>
      <c r="C406" s="79"/>
      <c r="D406" s="79"/>
      <c r="E406" s="79"/>
      <c r="F406" s="66" t="s">
        <v>35</v>
      </c>
      <c r="G406" s="67">
        <f t="shared" si="213"/>
        <v>10000000</v>
      </c>
      <c r="H406" s="67">
        <f t="shared" si="243"/>
        <v>8777352</v>
      </c>
      <c r="I406" s="67">
        <f t="shared" si="243"/>
        <v>1222648</v>
      </c>
      <c r="J406" s="67">
        <f>K406+L406</f>
        <v>10000000</v>
      </c>
      <c r="K406" s="67">
        <v>8777352</v>
      </c>
      <c r="L406" s="67">
        <v>1222648</v>
      </c>
      <c r="M406" s="67">
        <v>0</v>
      </c>
      <c r="N406" s="67">
        <f>O406+P406</f>
        <v>0</v>
      </c>
      <c r="O406" s="67">
        <v>0</v>
      </c>
      <c r="P406" s="67">
        <v>0</v>
      </c>
      <c r="Q406" s="68">
        <v>0</v>
      </c>
    </row>
    <row r="407" spans="1:24" s="55" customFormat="1" ht="30" customHeight="1" x14ac:dyDescent="0.35">
      <c r="A407" s="45" t="s">
        <v>351</v>
      </c>
      <c r="B407" s="46" t="s">
        <v>352</v>
      </c>
      <c r="C407" s="47">
        <f>C408+C411+C415</f>
        <v>0</v>
      </c>
      <c r="D407" s="47">
        <f>D408+D411+D415</f>
        <v>0</v>
      </c>
      <c r="E407" s="48">
        <f>E408+E411+E415</f>
        <v>0</v>
      </c>
      <c r="F407" s="49"/>
      <c r="G407" s="48">
        <f>H407+I407</f>
        <v>190840656</v>
      </c>
      <c r="H407" s="48">
        <f t="shared" si="243"/>
        <v>183344320</v>
      </c>
      <c r="I407" s="48">
        <f t="shared" si="243"/>
        <v>7496336</v>
      </c>
      <c r="J407" s="48">
        <f t="shared" ref="J407:P407" si="245">J408+J411+J415</f>
        <v>31000000</v>
      </c>
      <c r="K407" s="48">
        <f t="shared" si="245"/>
        <v>28000000</v>
      </c>
      <c r="L407" s="48">
        <f t="shared" si="245"/>
        <v>3000000</v>
      </c>
      <c r="M407" s="48">
        <f t="shared" si="245"/>
        <v>0</v>
      </c>
      <c r="N407" s="48">
        <f t="shared" si="245"/>
        <v>159840656</v>
      </c>
      <c r="O407" s="48">
        <f t="shared" si="245"/>
        <v>155344320</v>
      </c>
      <c r="P407" s="48">
        <f t="shared" si="245"/>
        <v>4496336</v>
      </c>
      <c r="Q407" s="48">
        <f>Q408+Q411+Q415</f>
        <v>0</v>
      </c>
    </row>
    <row r="408" spans="1:24" s="55" customFormat="1" ht="80.5" customHeight="1" x14ac:dyDescent="0.35">
      <c r="A408" s="241" t="s">
        <v>330</v>
      </c>
      <c r="B408" s="242" t="s">
        <v>331</v>
      </c>
      <c r="C408" s="52">
        <f>C409</f>
        <v>0</v>
      </c>
      <c r="D408" s="52">
        <f>D409</f>
        <v>0</v>
      </c>
      <c r="E408" s="53">
        <f>E409</f>
        <v>0</v>
      </c>
      <c r="F408" s="54" t="s">
        <v>332</v>
      </c>
      <c r="G408" s="52">
        <f>J408+M408+N408+Q408</f>
        <v>94836336</v>
      </c>
      <c r="H408" s="52">
        <f t="shared" si="243"/>
        <v>92635000</v>
      </c>
      <c r="I408" s="52">
        <f t="shared" si="243"/>
        <v>2201336</v>
      </c>
      <c r="J408" s="52">
        <f t="shared" ref="J408:Q408" si="246">J409</f>
        <v>0</v>
      </c>
      <c r="K408" s="52">
        <f t="shared" si="246"/>
        <v>0</v>
      </c>
      <c r="L408" s="52">
        <f t="shared" si="246"/>
        <v>0</v>
      </c>
      <c r="M408" s="52">
        <f t="shared" si="246"/>
        <v>0</v>
      </c>
      <c r="N408" s="52">
        <f t="shared" si="246"/>
        <v>94836336</v>
      </c>
      <c r="O408" s="52">
        <f t="shared" si="246"/>
        <v>92635000</v>
      </c>
      <c r="P408" s="52">
        <f t="shared" si="246"/>
        <v>2201336</v>
      </c>
      <c r="Q408" s="52">
        <f t="shared" si="246"/>
        <v>0</v>
      </c>
    </row>
    <row r="409" spans="1:24" ht="28" customHeight="1" x14ac:dyDescent="0.35">
      <c r="A409" s="241"/>
      <c r="B409" s="242"/>
      <c r="C409" s="60">
        <v>0</v>
      </c>
      <c r="D409" s="60">
        <v>0</v>
      </c>
      <c r="E409" s="60">
        <v>0</v>
      </c>
      <c r="F409" s="61" t="s">
        <v>321</v>
      </c>
      <c r="G409" s="60">
        <f>J409+M409+N409</f>
        <v>94836336</v>
      </c>
      <c r="H409" s="60">
        <f t="shared" si="243"/>
        <v>92635000</v>
      </c>
      <c r="I409" s="60">
        <f t="shared" si="243"/>
        <v>2201336</v>
      </c>
      <c r="J409" s="60">
        <v>0</v>
      </c>
      <c r="K409" s="60">
        <f>J409-L409</f>
        <v>0</v>
      </c>
      <c r="L409" s="60">
        <v>0</v>
      </c>
      <c r="M409" s="60">
        <v>0</v>
      </c>
      <c r="N409" s="60">
        <f>SUM(O409:P409)</f>
        <v>94836336</v>
      </c>
      <c r="O409" s="77">
        <f>O410</f>
        <v>92635000</v>
      </c>
      <c r="P409" s="77">
        <f>P410</f>
        <v>2201336</v>
      </c>
      <c r="Q409" s="60">
        <v>0</v>
      </c>
    </row>
    <row r="410" spans="1:24" ht="28" customHeight="1" x14ac:dyDescent="0.35">
      <c r="A410" s="241"/>
      <c r="B410" s="242"/>
      <c r="C410" s="19"/>
      <c r="D410" s="19"/>
      <c r="E410" s="19"/>
      <c r="F410" s="66" t="s">
        <v>322</v>
      </c>
      <c r="G410" s="67">
        <f>G409</f>
        <v>94836336</v>
      </c>
      <c r="H410" s="67">
        <f t="shared" ref="H410:Q410" si="247">H409</f>
        <v>92635000</v>
      </c>
      <c r="I410" s="67">
        <f t="shared" si="247"/>
        <v>2201336</v>
      </c>
      <c r="J410" s="67">
        <f t="shared" si="247"/>
        <v>0</v>
      </c>
      <c r="K410" s="67">
        <f t="shared" si="247"/>
        <v>0</v>
      </c>
      <c r="L410" s="67">
        <f t="shared" si="247"/>
        <v>0</v>
      </c>
      <c r="M410" s="67">
        <f t="shared" si="247"/>
        <v>0</v>
      </c>
      <c r="N410" s="67">
        <f t="shared" si="247"/>
        <v>94836336</v>
      </c>
      <c r="O410" s="67">
        <f>116310000-23675000</f>
        <v>92635000</v>
      </c>
      <c r="P410" s="67">
        <f>590000+1611336</f>
        <v>2201336</v>
      </c>
      <c r="Q410" s="68">
        <f t="shared" si="247"/>
        <v>0</v>
      </c>
    </row>
    <row r="411" spans="1:24" ht="133" customHeight="1" x14ac:dyDescent="0.35">
      <c r="A411" s="241" t="s">
        <v>353</v>
      </c>
      <c r="B411" s="242" t="s">
        <v>354</v>
      </c>
      <c r="C411" s="52">
        <f>C412</f>
        <v>0</v>
      </c>
      <c r="D411" s="52">
        <f>D412</f>
        <v>0</v>
      </c>
      <c r="E411" s="53">
        <f>E412</f>
        <v>0</v>
      </c>
      <c r="F411" s="54" t="s">
        <v>355</v>
      </c>
      <c r="G411" s="52">
        <f>J411+M411+N411+Q411</f>
        <v>65004320</v>
      </c>
      <c r="H411" s="52">
        <f>K411+O411</f>
        <v>62709320</v>
      </c>
      <c r="I411" s="52">
        <f>L411+P411</f>
        <v>2295000</v>
      </c>
      <c r="J411" s="52">
        <f t="shared" ref="J411:Q411" si="248">J412</f>
        <v>0</v>
      </c>
      <c r="K411" s="52">
        <f t="shared" si="248"/>
        <v>0</v>
      </c>
      <c r="L411" s="52">
        <f t="shared" si="248"/>
        <v>0</v>
      </c>
      <c r="M411" s="52">
        <f t="shared" si="248"/>
        <v>0</v>
      </c>
      <c r="N411" s="52">
        <f t="shared" si="248"/>
        <v>65004320</v>
      </c>
      <c r="O411" s="52">
        <f t="shared" si="248"/>
        <v>62709320</v>
      </c>
      <c r="P411" s="52">
        <f t="shared" si="248"/>
        <v>2295000</v>
      </c>
      <c r="Q411" s="52">
        <f t="shared" si="248"/>
        <v>0</v>
      </c>
    </row>
    <row r="412" spans="1:24" ht="28" customHeight="1" x14ac:dyDescent="0.35">
      <c r="A412" s="241"/>
      <c r="B412" s="242"/>
      <c r="C412" s="60">
        <v>0</v>
      </c>
      <c r="D412" s="112">
        <f>G414</f>
        <v>0</v>
      </c>
      <c r="E412" s="60">
        <v>0</v>
      </c>
      <c r="F412" s="61" t="s">
        <v>34</v>
      </c>
      <c r="G412" s="60">
        <f>J412+M412+N412</f>
        <v>65004320</v>
      </c>
      <c r="H412" s="60">
        <f>K412+O412</f>
        <v>62709320</v>
      </c>
      <c r="I412" s="60">
        <f>L412+P412</f>
        <v>2295000</v>
      </c>
      <c r="J412" s="60">
        <v>0</v>
      </c>
      <c r="K412" s="60">
        <f>J412-L412</f>
        <v>0</v>
      </c>
      <c r="L412" s="60">
        <v>0</v>
      </c>
      <c r="M412" s="60">
        <v>0</v>
      </c>
      <c r="N412" s="60">
        <f>SUM(O412:P412)</f>
        <v>65004320</v>
      </c>
      <c r="O412" s="77">
        <f>O413+O414</f>
        <v>62709320</v>
      </c>
      <c r="P412" s="77">
        <v>2295000</v>
      </c>
      <c r="Q412" s="60">
        <v>0</v>
      </c>
    </row>
    <row r="413" spans="1:24" ht="28" customHeight="1" x14ac:dyDescent="0.35">
      <c r="A413" s="241"/>
      <c r="B413" s="242"/>
      <c r="C413" s="19"/>
      <c r="D413" s="19"/>
      <c r="E413" s="19"/>
      <c r="F413" s="66" t="s">
        <v>35</v>
      </c>
      <c r="G413" s="67">
        <f>G412-G414</f>
        <v>65004320</v>
      </c>
      <c r="H413" s="67">
        <f>H412-H414</f>
        <v>62709320</v>
      </c>
      <c r="I413" s="67">
        <f>I412-I414</f>
        <v>2295000</v>
      </c>
      <c r="J413" s="67">
        <f>J412</f>
        <v>0</v>
      </c>
      <c r="K413" s="67">
        <f>K412</f>
        <v>0</v>
      </c>
      <c r="L413" s="67">
        <f>L412</f>
        <v>0</v>
      </c>
      <c r="M413" s="67">
        <f>M412</f>
        <v>0</v>
      </c>
      <c r="N413" s="67">
        <f>O413+P413</f>
        <v>65004320</v>
      </c>
      <c r="O413" s="67">
        <f>71211000-3501680-5000000</f>
        <v>62709320</v>
      </c>
      <c r="P413" s="67">
        <f>P412-P414</f>
        <v>2295000</v>
      </c>
      <c r="Q413" s="68">
        <f>Q412</f>
        <v>0</v>
      </c>
    </row>
    <row r="414" spans="1:24" ht="28" customHeight="1" x14ac:dyDescent="0.35">
      <c r="A414" s="241"/>
      <c r="B414" s="242"/>
      <c r="C414" s="19"/>
      <c r="D414" s="19"/>
      <c r="E414" s="19"/>
      <c r="F414" s="66" t="s">
        <v>347</v>
      </c>
      <c r="G414" s="103">
        <f t="shared" ref="G414:G417" si="249">J414+M414+N414+Q414</f>
        <v>0</v>
      </c>
      <c r="H414" s="103">
        <f t="shared" ref="H414:I420" si="250">K414+O414</f>
        <v>0</v>
      </c>
      <c r="I414" s="103">
        <f t="shared" si="250"/>
        <v>0</v>
      </c>
      <c r="J414" s="103">
        <f>K414+L414</f>
        <v>0</v>
      </c>
      <c r="K414" s="103">
        <v>0</v>
      </c>
      <c r="L414" s="103">
        <v>0</v>
      </c>
      <c r="M414" s="103">
        <v>0</v>
      </c>
      <c r="N414" s="103">
        <f>O414+P414</f>
        <v>0</v>
      </c>
      <c r="O414" s="103">
        <f>12500000-12500000</f>
        <v>0</v>
      </c>
      <c r="P414" s="103">
        <v>0</v>
      </c>
      <c r="Q414" s="103">
        <v>0</v>
      </c>
    </row>
    <row r="415" spans="1:24" ht="105" customHeight="1" x14ac:dyDescent="0.35">
      <c r="A415" s="243" t="s">
        <v>348</v>
      </c>
      <c r="B415" s="246" t="s">
        <v>349</v>
      </c>
      <c r="C415" s="52">
        <f>C416</f>
        <v>0</v>
      </c>
      <c r="D415" s="52">
        <f t="shared" ref="D415:E415" si="251">D416</f>
        <v>0</v>
      </c>
      <c r="E415" s="52">
        <f t="shared" si="251"/>
        <v>0</v>
      </c>
      <c r="F415" s="54" t="s">
        <v>350</v>
      </c>
      <c r="G415" s="52">
        <f t="shared" si="249"/>
        <v>31000000</v>
      </c>
      <c r="H415" s="52">
        <f t="shared" si="250"/>
        <v>28000000</v>
      </c>
      <c r="I415" s="52">
        <f t="shared" si="250"/>
        <v>3000000</v>
      </c>
      <c r="J415" s="52">
        <f t="shared" ref="J415:Q416" si="252">J416</f>
        <v>31000000</v>
      </c>
      <c r="K415" s="52">
        <f t="shared" si="252"/>
        <v>28000000</v>
      </c>
      <c r="L415" s="52">
        <f t="shared" si="252"/>
        <v>3000000</v>
      </c>
      <c r="M415" s="52">
        <f t="shared" si="252"/>
        <v>0</v>
      </c>
      <c r="N415" s="52">
        <f t="shared" si="252"/>
        <v>0</v>
      </c>
      <c r="O415" s="52">
        <f t="shared" si="252"/>
        <v>0</v>
      </c>
      <c r="P415" s="52">
        <f t="shared" si="252"/>
        <v>0</v>
      </c>
      <c r="Q415" s="52">
        <f t="shared" si="252"/>
        <v>0</v>
      </c>
    </row>
    <row r="416" spans="1:24" ht="28" customHeight="1" x14ac:dyDescent="0.35">
      <c r="A416" s="244"/>
      <c r="B416" s="247"/>
      <c r="C416" s="60">
        <v>0</v>
      </c>
      <c r="D416" s="60">
        <v>0</v>
      </c>
      <c r="E416" s="60">
        <v>0</v>
      </c>
      <c r="F416" s="61" t="s">
        <v>34</v>
      </c>
      <c r="G416" s="60">
        <f t="shared" si="249"/>
        <v>31000000</v>
      </c>
      <c r="H416" s="60">
        <f t="shared" si="250"/>
        <v>28000000</v>
      </c>
      <c r="I416" s="60">
        <f t="shared" si="250"/>
        <v>3000000</v>
      </c>
      <c r="J416" s="60">
        <f t="shared" si="252"/>
        <v>31000000</v>
      </c>
      <c r="K416" s="60">
        <f t="shared" si="252"/>
        <v>28000000</v>
      </c>
      <c r="L416" s="60">
        <f t="shared" si="252"/>
        <v>3000000</v>
      </c>
      <c r="M416" s="60">
        <f t="shared" si="252"/>
        <v>0</v>
      </c>
      <c r="N416" s="60">
        <f>SUM(O416:P416)</f>
        <v>0</v>
      </c>
      <c r="O416" s="77">
        <f>O417</f>
        <v>0</v>
      </c>
      <c r="P416" s="77">
        <f>P417</f>
        <v>0</v>
      </c>
      <c r="Q416" s="60">
        <f>Q417</f>
        <v>0</v>
      </c>
    </row>
    <row r="417" spans="1:17" ht="28" customHeight="1" x14ac:dyDescent="0.35">
      <c r="A417" s="244"/>
      <c r="B417" s="247"/>
      <c r="C417" s="19"/>
      <c r="D417" s="19"/>
      <c r="E417" s="19"/>
      <c r="F417" s="66" t="s">
        <v>35</v>
      </c>
      <c r="G417" s="67">
        <f t="shared" si="249"/>
        <v>31000000</v>
      </c>
      <c r="H417" s="67">
        <f t="shared" si="250"/>
        <v>28000000</v>
      </c>
      <c r="I417" s="67">
        <f t="shared" si="250"/>
        <v>3000000</v>
      </c>
      <c r="J417" s="67">
        <f>K417+L417</f>
        <v>31000000</v>
      </c>
      <c r="K417" s="67">
        <f>45000000-17000000</f>
        <v>28000000</v>
      </c>
      <c r="L417" s="67">
        <f>5000000-2000000</f>
        <v>3000000</v>
      </c>
      <c r="M417" s="67">
        <v>0</v>
      </c>
      <c r="N417" s="67">
        <f>O417+P417</f>
        <v>0</v>
      </c>
      <c r="O417" s="67">
        <v>0</v>
      </c>
      <c r="P417" s="67">
        <v>0</v>
      </c>
      <c r="Q417" s="68">
        <v>0</v>
      </c>
    </row>
    <row r="418" spans="1:17" ht="30" customHeight="1" x14ac:dyDescent="0.35">
      <c r="A418" s="45" t="s">
        <v>356</v>
      </c>
      <c r="B418" s="46" t="s">
        <v>357</v>
      </c>
      <c r="C418" s="47">
        <f>C419+C423+C427</f>
        <v>0</v>
      </c>
      <c r="D418" s="47">
        <f>D419+D423+D427</f>
        <v>27665800</v>
      </c>
      <c r="E418" s="48">
        <f>E419+E423+E427</f>
        <v>0</v>
      </c>
      <c r="F418" s="49"/>
      <c r="G418" s="48">
        <f>H418+I418</f>
        <v>288319151</v>
      </c>
      <c r="H418" s="48">
        <f t="shared" si="250"/>
        <v>283099839</v>
      </c>
      <c r="I418" s="48">
        <f t="shared" si="250"/>
        <v>5219312</v>
      </c>
      <c r="J418" s="48">
        <f t="shared" ref="J418:P418" si="253">J419+J423+J427</f>
        <v>0</v>
      </c>
      <c r="K418" s="48">
        <f t="shared" si="253"/>
        <v>0</v>
      </c>
      <c r="L418" s="48">
        <f t="shared" si="253"/>
        <v>0</v>
      </c>
      <c r="M418" s="48">
        <f t="shared" si="253"/>
        <v>0</v>
      </c>
      <c r="N418" s="48">
        <f t="shared" si="253"/>
        <v>288319151</v>
      </c>
      <c r="O418" s="48">
        <f t="shared" si="253"/>
        <v>283099839</v>
      </c>
      <c r="P418" s="48">
        <f t="shared" si="253"/>
        <v>5219312</v>
      </c>
      <c r="Q418" s="48">
        <f>Q419+Q423+Q427</f>
        <v>0</v>
      </c>
    </row>
    <row r="419" spans="1:17" ht="124.5" customHeight="1" x14ac:dyDescent="0.35">
      <c r="A419" s="241" t="s">
        <v>318</v>
      </c>
      <c r="B419" s="242" t="s">
        <v>319</v>
      </c>
      <c r="C419" s="52">
        <f>C420</f>
        <v>0</v>
      </c>
      <c r="D419" s="52">
        <f>D420</f>
        <v>10000000</v>
      </c>
      <c r="E419" s="53">
        <f>E420</f>
        <v>0</v>
      </c>
      <c r="F419" s="54" t="s">
        <v>320</v>
      </c>
      <c r="G419" s="52">
        <f>J419+M419+N419+Q419</f>
        <v>190222512</v>
      </c>
      <c r="H419" s="52">
        <f t="shared" si="250"/>
        <v>187635500</v>
      </c>
      <c r="I419" s="52">
        <f t="shared" si="250"/>
        <v>2587012</v>
      </c>
      <c r="J419" s="52">
        <f t="shared" ref="J419:Q419" si="254">J420</f>
        <v>0</v>
      </c>
      <c r="K419" s="52">
        <f t="shared" si="254"/>
        <v>0</v>
      </c>
      <c r="L419" s="52">
        <f t="shared" si="254"/>
        <v>0</v>
      </c>
      <c r="M419" s="52">
        <f t="shared" si="254"/>
        <v>0</v>
      </c>
      <c r="N419" s="52">
        <f t="shared" si="254"/>
        <v>190222512</v>
      </c>
      <c r="O419" s="52">
        <f t="shared" si="254"/>
        <v>187635500</v>
      </c>
      <c r="P419" s="52">
        <f t="shared" si="254"/>
        <v>2587012</v>
      </c>
      <c r="Q419" s="52">
        <f t="shared" si="254"/>
        <v>0</v>
      </c>
    </row>
    <row r="420" spans="1:17" ht="28" customHeight="1" x14ac:dyDescent="0.35">
      <c r="A420" s="241"/>
      <c r="B420" s="242"/>
      <c r="C420" s="60">
        <v>0</v>
      </c>
      <c r="D420" s="112">
        <f>G422</f>
        <v>10000000</v>
      </c>
      <c r="E420" s="60">
        <v>0</v>
      </c>
      <c r="F420" s="61" t="s">
        <v>321</v>
      </c>
      <c r="G420" s="60">
        <f>J420+M420+N420</f>
        <v>190222512</v>
      </c>
      <c r="H420" s="60">
        <f t="shared" si="250"/>
        <v>187635500</v>
      </c>
      <c r="I420" s="60">
        <f t="shared" si="250"/>
        <v>2587012</v>
      </c>
      <c r="J420" s="60">
        <v>0</v>
      </c>
      <c r="K420" s="60">
        <v>0</v>
      </c>
      <c r="L420" s="60">
        <v>0</v>
      </c>
      <c r="M420" s="60">
        <v>0</v>
      </c>
      <c r="N420" s="60">
        <f>SUM(O420:P420)</f>
        <v>190222512</v>
      </c>
      <c r="O420" s="77">
        <f>O421+O422</f>
        <v>187635500</v>
      </c>
      <c r="P420" s="77">
        <f>P421+P422</f>
        <v>2587012</v>
      </c>
      <c r="Q420" s="60">
        <v>0</v>
      </c>
    </row>
    <row r="421" spans="1:17" ht="28" customHeight="1" x14ac:dyDescent="0.35">
      <c r="A421" s="241"/>
      <c r="B421" s="242"/>
      <c r="C421" s="19"/>
      <c r="D421" s="19"/>
      <c r="E421" s="19"/>
      <c r="F421" s="66" t="s">
        <v>322</v>
      </c>
      <c r="G421" s="67">
        <f>G420-G422</f>
        <v>180222512</v>
      </c>
      <c r="H421" s="67">
        <f>H420-H422</f>
        <v>177635500</v>
      </c>
      <c r="I421" s="67">
        <f>I420-I422</f>
        <v>2587012</v>
      </c>
      <c r="J421" s="67">
        <f>J420</f>
        <v>0</v>
      </c>
      <c r="K421" s="67">
        <f>K420</f>
        <v>0</v>
      </c>
      <c r="L421" s="67">
        <f>L420</f>
        <v>0</v>
      </c>
      <c r="M421" s="67">
        <f>M420</f>
        <v>0</v>
      </c>
      <c r="N421" s="67">
        <f>O421+P421</f>
        <v>180222512</v>
      </c>
      <c r="O421" s="67">
        <f>180455000-2819500</f>
        <v>177635500</v>
      </c>
      <c r="P421" s="67">
        <f>3647012-1060000</f>
        <v>2587012</v>
      </c>
      <c r="Q421" s="68">
        <f>Q420</f>
        <v>0</v>
      </c>
    </row>
    <row r="422" spans="1:17" ht="28" customHeight="1" x14ac:dyDescent="0.35">
      <c r="A422" s="241"/>
      <c r="B422" s="242"/>
      <c r="C422" s="19"/>
      <c r="D422" s="19"/>
      <c r="E422" s="19"/>
      <c r="F422" s="66" t="s">
        <v>323</v>
      </c>
      <c r="G422" s="103">
        <f>J422+M422+N422+Q422</f>
        <v>10000000</v>
      </c>
      <c r="H422" s="103">
        <f t="shared" ref="H422:I424" si="255">K422+O422</f>
        <v>10000000</v>
      </c>
      <c r="I422" s="103">
        <f t="shared" si="255"/>
        <v>0</v>
      </c>
      <c r="J422" s="103">
        <f>K422+L422</f>
        <v>0</v>
      </c>
      <c r="K422" s="103">
        <v>0</v>
      </c>
      <c r="L422" s="103">
        <v>0</v>
      </c>
      <c r="M422" s="103">
        <v>0</v>
      </c>
      <c r="N422" s="103">
        <f>O422+P422</f>
        <v>10000000</v>
      </c>
      <c r="O422" s="103">
        <v>10000000</v>
      </c>
      <c r="P422" s="103">
        <v>0</v>
      </c>
      <c r="Q422" s="103">
        <v>0</v>
      </c>
    </row>
    <row r="423" spans="1:17" ht="183.65" customHeight="1" x14ac:dyDescent="0.35">
      <c r="A423" s="241" t="s">
        <v>344</v>
      </c>
      <c r="B423" s="242" t="s">
        <v>345</v>
      </c>
      <c r="C423" s="52">
        <f>C424</f>
        <v>0</v>
      </c>
      <c r="D423" s="52">
        <f>D424</f>
        <v>12665800</v>
      </c>
      <c r="E423" s="53">
        <f>E424</f>
        <v>0</v>
      </c>
      <c r="F423" s="54" t="s">
        <v>346</v>
      </c>
      <c r="G423" s="52">
        <f>J423+M423+N423+Q423</f>
        <v>20751629</v>
      </c>
      <c r="H423" s="52">
        <f t="shared" si="255"/>
        <v>19662829</v>
      </c>
      <c r="I423" s="52">
        <f t="shared" si="255"/>
        <v>1088800</v>
      </c>
      <c r="J423" s="52">
        <f t="shared" ref="J423:Q423" si="256">J424</f>
        <v>0</v>
      </c>
      <c r="K423" s="52">
        <f t="shared" si="256"/>
        <v>0</v>
      </c>
      <c r="L423" s="52">
        <f t="shared" si="256"/>
        <v>0</v>
      </c>
      <c r="M423" s="52">
        <f t="shared" si="256"/>
        <v>0</v>
      </c>
      <c r="N423" s="52">
        <f t="shared" si="256"/>
        <v>20751629</v>
      </c>
      <c r="O423" s="52">
        <f t="shared" si="256"/>
        <v>19662829</v>
      </c>
      <c r="P423" s="52">
        <f t="shared" si="256"/>
        <v>1088800</v>
      </c>
      <c r="Q423" s="52">
        <f t="shared" si="256"/>
        <v>0</v>
      </c>
    </row>
    <row r="424" spans="1:17" ht="28" customHeight="1" x14ac:dyDescent="0.35">
      <c r="A424" s="241"/>
      <c r="B424" s="242"/>
      <c r="C424" s="60">
        <v>0</v>
      </c>
      <c r="D424" s="112">
        <f>G426</f>
        <v>12665800</v>
      </c>
      <c r="E424" s="60">
        <v>0</v>
      </c>
      <c r="F424" s="61" t="s">
        <v>34</v>
      </c>
      <c r="G424" s="60">
        <f>J424+M424+N424</f>
        <v>20751629</v>
      </c>
      <c r="H424" s="60">
        <f t="shared" si="255"/>
        <v>19662829</v>
      </c>
      <c r="I424" s="60">
        <f t="shared" si="255"/>
        <v>1088800</v>
      </c>
      <c r="J424" s="60">
        <v>0</v>
      </c>
      <c r="K424" s="60">
        <v>0</v>
      </c>
      <c r="L424" s="60">
        <v>0</v>
      </c>
      <c r="M424" s="60">
        <v>0</v>
      </c>
      <c r="N424" s="60">
        <f>N425+N426</f>
        <v>20751629</v>
      </c>
      <c r="O424" s="60">
        <f t="shared" ref="O424:P424" si="257">O425+O426</f>
        <v>19662829</v>
      </c>
      <c r="P424" s="60">
        <f t="shared" si="257"/>
        <v>1088800</v>
      </c>
      <c r="Q424" s="60">
        <v>0</v>
      </c>
    </row>
    <row r="425" spans="1:17" ht="28" customHeight="1" x14ac:dyDescent="0.35">
      <c r="A425" s="241"/>
      <c r="B425" s="242"/>
      <c r="C425" s="19"/>
      <c r="D425" s="19"/>
      <c r="E425" s="19"/>
      <c r="F425" s="66" t="s">
        <v>35</v>
      </c>
      <c r="G425" s="67">
        <f>G424-G426</f>
        <v>8085829</v>
      </c>
      <c r="H425" s="67">
        <f>H424-H426</f>
        <v>6997029</v>
      </c>
      <c r="I425" s="67">
        <f>I424-I426</f>
        <v>1088800</v>
      </c>
      <c r="J425" s="67">
        <f t="shared" ref="J425:Q425" si="258">J424</f>
        <v>0</v>
      </c>
      <c r="K425" s="67">
        <f t="shared" si="258"/>
        <v>0</v>
      </c>
      <c r="L425" s="67">
        <f t="shared" si="258"/>
        <v>0</v>
      </c>
      <c r="M425" s="67">
        <f t="shared" si="258"/>
        <v>0</v>
      </c>
      <c r="N425" s="67">
        <f>O425+P425</f>
        <v>8085829</v>
      </c>
      <c r="O425" s="67">
        <f>2647170+4349859</f>
        <v>6997029</v>
      </c>
      <c r="P425" s="67">
        <v>1088800</v>
      </c>
      <c r="Q425" s="68">
        <f t="shared" si="258"/>
        <v>0</v>
      </c>
    </row>
    <row r="426" spans="1:17" ht="28" customHeight="1" x14ac:dyDescent="0.35">
      <c r="A426" s="241"/>
      <c r="B426" s="242"/>
      <c r="C426" s="19"/>
      <c r="D426" s="19"/>
      <c r="E426" s="19"/>
      <c r="F426" s="66" t="s">
        <v>347</v>
      </c>
      <c r="G426" s="103">
        <f>J426+M426+N426+Q426</f>
        <v>12665800</v>
      </c>
      <c r="H426" s="103">
        <f t="shared" ref="H426:I428" si="259">K426+O426</f>
        <v>12665800</v>
      </c>
      <c r="I426" s="103">
        <f t="shared" si="259"/>
        <v>0</v>
      </c>
      <c r="J426" s="103">
        <f>K426+L426</f>
        <v>0</v>
      </c>
      <c r="K426" s="103">
        <v>0</v>
      </c>
      <c r="L426" s="103">
        <v>0</v>
      </c>
      <c r="M426" s="103">
        <v>0</v>
      </c>
      <c r="N426" s="103">
        <f>O426+P426</f>
        <v>12665800</v>
      </c>
      <c r="O426" s="103">
        <v>12665800</v>
      </c>
      <c r="P426" s="103">
        <v>0</v>
      </c>
      <c r="Q426" s="103"/>
    </row>
    <row r="427" spans="1:17" ht="47" x14ac:dyDescent="0.35">
      <c r="A427" s="241" t="s">
        <v>358</v>
      </c>
      <c r="B427" s="242" t="s">
        <v>359</v>
      </c>
      <c r="C427" s="52">
        <f>C428</f>
        <v>0</v>
      </c>
      <c r="D427" s="52">
        <f>D428</f>
        <v>5000000</v>
      </c>
      <c r="E427" s="53">
        <f>E428</f>
        <v>0</v>
      </c>
      <c r="F427" s="54" t="s">
        <v>360</v>
      </c>
      <c r="G427" s="52">
        <f>J427+M427+N427+Q427</f>
        <v>77345010</v>
      </c>
      <c r="H427" s="52">
        <f t="shared" si="259"/>
        <v>75801510</v>
      </c>
      <c r="I427" s="52">
        <f t="shared" si="259"/>
        <v>1543500</v>
      </c>
      <c r="J427" s="52">
        <f t="shared" ref="J427:Q427" si="260">J428</f>
        <v>0</v>
      </c>
      <c r="K427" s="52">
        <f t="shared" si="260"/>
        <v>0</v>
      </c>
      <c r="L427" s="52">
        <f t="shared" si="260"/>
        <v>0</v>
      </c>
      <c r="M427" s="52">
        <f t="shared" si="260"/>
        <v>0</v>
      </c>
      <c r="N427" s="52">
        <f t="shared" si="260"/>
        <v>77345010</v>
      </c>
      <c r="O427" s="52">
        <f t="shared" si="260"/>
        <v>75801510</v>
      </c>
      <c r="P427" s="52">
        <f t="shared" si="260"/>
        <v>1543500</v>
      </c>
      <c r="Q427" s="52">
        <f t="shared" si="260"/>
        <v>0</v>
      </c>
    </row>
    <row r="428" spans="1:17" ht="28" customHeight="1" x14ac:dyDescent="0.35">
      <c r="A428" s="241"/>
      <c r="B428" s="242"/>
      <c r="C428" s="60">
        <v>0</v>
      </c>
      <c r="D428" s="112">
        <f>G430</f>
        <v>5000000</v>
      </c>
      <c r="E428" s="60">
        <v>0</v>
      </c>
      <c r="F428" s="61" t="s">
        <v>321</v>
      </c>
      <c r="G428" s="60">
        <f>J428+M428+N428</f>
        <v>77345010</v>
      </c>
      <c r="H428" s="60">
        <f t="shared" si="259"/>
        <v>75801510</v>
      </c>
      <c r="I428" s="60">
        <f t="shared" si="259"/>
        <v>1543500</v>
      </c>
      <c r="J428" s="60">
        <v>0</v>
      </c>
      <c r="K428" s="60">
        <v>0</v>
      </c>
      <c r="L428" s="60">
        <v>0</v>
      </c>
      <c r="M428" s="60">
        <v>0</v>
      </c>
      <c r="N428" s="60">
        <f>SUM(O428:P428)</f>
        <v>77345010</v>
      </c>
      <c r="O428" s="77">
        <f>O429+O430</f>
        <v>75801510</v>
      </c>
      <c r="P428" s="77">
        <f>P429+P430</f>
        <v>1543500</v>
      </c>
      <c r="Q428" s="60">
        <v>0</v>
      </c>
    </row>
    <row r="429" spans="1:17" ht="28" customHeight="1" x14ac:dyDescent="0.35">
      <c r="A429" s="241"/>
      <c r="B429" s="242"/>
      <c r="C429" s="19"/>
      <c r="D429" s="19"/>
      <c r="E429" s="19"/>
      <c r="F429" s="66" t="s">
        <v>322</v>
      </c>
      <c r="G429" s="67">
        <f>G428-G430</f>
        <v>72345010</v>
      </c>
      <c r="H429" s="67">
        <f>H428-H430</f>
        <v>70801510</v>
      </c>
      <c r="I429" s="67">
        <f>I428-I430</f>
        <v>1543500</v>
      </c>
      <c r="J429" s="67">
        <f>J428</f>
        <v>0</v>
      </c>
      <c r="K429" s="67">
        <f>K428</f>
        <v>0</v>
      </c>
      <c r="L429" s="67">
        <f>L428</f>
        <v>0</v>
      </c>
      <c r="M429" s="67">
        <f>M428</f>
        <v>0</v>
      </c>
      <c r="N429" s="67">
        <f>O429+P429</f>
        <v>72345010</v>
      </c>
      <c r="O429" s="67">
        <f>65647010+5154500</f>
        <v>70801510</v>
      </c>
      <c r="P429" s="67">
        <f>2818500-1275000</f>
        <v>1543500</v>
      </c>
      <c r="Q429" s="68">
        <f>Q428</f>
        <v>0</v>
      </c>
    </row>
    <row r="430" spans="1:17" ht="28" customHeight="1" x14ac:dyDescent="0.35">
      <c r="A430" s="241"/>
      <c r="B430" s="242"/>
      <c r="C430" s="19"/>
      <c r="D430" s="19"/>
      <c r="E430" s="19"/>
      <c r="F430" s="66" t="s">
        <v>323</v>
      </c>
      <c r="G430" s="103">
        <f>J430+M430+N430+Q430</f>
        <v>5000000</v>
      </c>
      <c r="H430" s="103">
        <f t="shared" ref="H430:I445" si="261">K430+O430</f>
        <v>5000000</v>
      </c>
      <c r="I430" s="103">
        <f t="shared" si="261"/>
        <v>0</v>
      </c>
      <c r="J430" s="103">
        <f>K430+L430</f>
        <v>0</v>
      </c>
      <c r="K430" s="103">
        <v>0</v>
      </c>
      <c r="L430" s="103">
        <v>0</v>
      </c>
      <c r="M430" s="103">
        <v>0</v>
      </c>
      <c r="N430" s="103">
        <f>O430+P430</f>
        <v>5000000</v>
      </c>
      <c r="O430" s="103">
        <v>5000000</v>
      </c>
      <c r="P430" s="103">
        <v>0</v>
      </c>
      <c r="Q430" s="103">
        <v>0</v>
      </c>
    </row>
    <row r="431" spans="1:17" ht="30" customHeight="1" x14ac:dyDescent="0.35">
      <c r="A431" s="45" t="s">
        <v>361</v>
      </c>
      <c r="B431" s="46" t="s">
        <v>362</v>
      </c>
      <c r="C431" s="47">
        <f>C432+C436+C439+C445+C449+C457+C466</f>
        <v>95726920</v>
      </c>
      <c r="D431" s="47">
        <f>D432+D436+D439+D445+D449+D457+D466</f>
        <v>240000000</v>
      </c>
      <c r="E431" s="48">
        <f>E432+E436+E439+E445+E449+E457+E466</f>
        <v>20125000</v>
      </c>
      <c r="F431" s="49"/>
      <c r="G431" s="48">
        <f>J431+M431+N431+Q431</f>
        <v>969126389</v>
      </c>
      <c r="H431" s="48">
        <f>K431+O431</f>
        <v>933772543</v>
      </c>
      <c r="I431" s="48">
        <f>L431+P431</f>
        <v>35353846</v>
      </c>
      <c r="J431" s="48">
        <f t="shared" ref="J431:Q431" si="262">J432+J436+J439+J445+J449+J457+J466</f>
        <v>312872399</v>
      </c>
      <c r="K431" s="48">
        <f t="shared" si="262"/>
        <v>295743428</v>
      </c>
      <c r="L431" s="48">
        <f t="shared" si="262"/>
        <v>17128971</v>
      </c>
      <c r="M431" s="48">
        <f t="shared" si="262"/>
        <v>0</v>
      </c>
      <c r="N431" s="48">
        <f t="shared" si="262"/>
        <v>656253990</v>
      </c>
      <c r="O431" s="48">
        <f t="shared" si="262"/>
        <v>638029115</v>
      </c>
      <c r="P431" s="48">
        <f t="shared" si="262"/>
        <v>18224875</v>
      </c>
      <c r="Q431" s="48">
        <f t="shared" si="262"/>
        <v>0</v>
      </c>
    </row>
    <row r="432" spans="1:17" ht="47" x14ac:dyDescent="0.35">
      <c r="A432" s="241" t="s">
        <v>363</v>
      </c>
      <c r="B432" s="242" t="s">
        <v>364</v>
      </c>
      <c r="C432" s="52">
        <f>C433</f>
        <v>0</v>
      </c>
      <c r="D432" s="52">
        <f>D433</f>
        <v>50000000</v>
      </c>
      <c r="E432" s="53">
        <f>E433</f>
        <v>0</v>
      </c>
      <c r="F432" s="54" t="s">
        <v>365</v>
      </c>
      <c r="G432" s="52">
        <f t="shared" ref="G432:G468" si="263">J432+M432+N432+Q432</f>
        <v>135574117</v>
      </c>
      <c r="H432" s="52">
        <f t="shared" si="261"/>
        <v>134133517</v>
      </c>
      <c r="I432" s="52">
        <f t="shared" si="261"/>
        <v>1440600</v>
      </c>
      <c r="J432" s="52">
        <f>J433</f>
        <v>0</v>
      </c>
      <c r="K432" s="52">
        <f t="shared" ref="K432:Q432" si="264">K433</f>
        <v>0</v>
      </c>
      <c r="L432" s="52">
        <f t="shared" si="264"/>
        <v>0</v>
      </c>
      <c r="M432" s="52">
        <f t="shared" si="264"/>
        <v>0</v>
      </c>
      <c r="N432" s="52">
        <f t="shared" si="264"/>
        <v>135574117</v>
      </c>
      <c r="O432" s="52">
        <f t="shared" si="264"/>
        <v>134133517</v>
      </c>
      <c r="P432" s="52">
        <f t="shared" si="264"/>
        <v>1440600</v>
      </c>
      <c r="Q432" s="52">
        <f t="shared" si="264"/>
        <v>0</v>
      </c>
    </row>
    <row r="433" spans="1:17" ht="28" customHeight="1" x14ac:dyDescent="0.35">
      <c r="A433" s="241"/>
      <c r="B433" s="242"/>
      <c r="C433" s="60">
        <v>0</v>
      </c>
      <c r="D433" s="112">
        <f>G435</f>
        <v>50000000</v>
      </c>
      <c r="E433" s="60">
        <v>0</v>
      </c>
      <c r="F433" s="61" t="s">
        <v>321</v>
      </c>
      <c r="G433" s="60">
        <f t="shared" si="263"/>
        <v>135574117</v>
      </c>
      <c r="H433" s="60">
        <f t="shared" si="261"/>
        <v>134133517</v>
      </c>
      <c r="I433" s="60">
        <f t="shared" si="261"/>
        <v>1440600</v>
      </c>
      <c r="J433" s="60">
        <f>J434+J435</f>
        <v>0</v>
      </c>
      <c r="K433" s="60">
        <f t="shared" ref="K433:Q433" si="265">K434+K435</f>
        <v>0</v>
      </c>
      <c r="L433" s="60">
        <f t="shared" si="265"/>
        <v>0</v>
      </c>
      <c r="M433" s="60">
        <f t="shared" si="265"/>
        <v>0</v>
      </c>
      <c r="N433" s="60">
        <f t="shared" si="265"/>
        <v>135574117</v>
      </c>
      <c r="O433" s="60">
        <f t="shared" si="265"/>
        <v>134133517</v>
      </c>
      <c r="P433" s="60">
        <f t="shared" si="265"/>
        <v>1440600</v>
      </c>
      <c r="Q433" s="60">
        <f t="shared" si="265"/>
        <v>0</v>
      </c>
    </row>
    <row r="434" spans="1:17" ht="28" customHeight="1" x14ac:dyDescent="0.35">
      <c r="A434" s="241"/>
      <c r="B434" s="242"/>
      <c r="C434" s="19"/>
      <c r="D434" s="19"/>
      <c r="E434" s="19"/>
      <c r="F434" s="66" t="s">
        <v>322</v>
      </c>
      <c r="G434" s="67">
        <f t="shared" si="263"/>
        <v>85574117</v>
      </c>
      <c r="H434" s="67">
        <f t="shared" si="261"/>
        <v>84133517</v>
      </c>
      <c r="I434" s="67">
        <f t="shared" si="261"/>
        <v>1440600</v>
      </c>
      <c r="J434" s="67">
        <f>K434+L434</f>
        <v>0</v>
      </c>
      <c r="K434" s="67">
        <v>0</v>
      </c>
      <c r="L434" s="67">
        <v>0</v>
      </c>
      <c r="M434" s="67">
        <v>0</v>
      </c>
      <c r="N434" s="67">
        <f>O434+P434</f>
        <v>85574117</v>
      </c>
      <c r="O434" s="67">
        <f>92255000-1043597-7077886</f>
        <v>84133517</v>
      </c>
      <c r="P434" s="67">
        <f>1610000-169400</f>
        <v>1440600</v>
      </c>
      <c r="Q434" s="68">
        <v>0</v>
      </c>
    </row>
    <row r="435" spans="1:17" ht="28" customHeight="1" x14ac:dyDescent="0.35">
      <c r="A435" s="241"/>
      <c r="B435" s="242"/>
      <c r="C435" s="19"/>
      <c r="D435" s="19"/>
      <c r="E435" s="19"/>
      <c r="F435" s="66" t="s">
        <v>323</v>
      </c>
      <c r="G435" s="103">
        <f t="shared" si="263"/>
        <v>50000000</v>
      </c>
      <c r="H435" s="103">
        <f t="shared" si="261"/>
        <v>50000000</v>
      </c>
      <c r="I435" s="103">
        <f t="shared" si="261"/>
        <v>0</v>
      </c>
      <c r="J435" s="103">
        <f>K435+L435</f>
        <v>0</v>
      </c>
      <c r="K435" s="103">
        <v>0</v>
      </c>
      <c r="L435" s="103">
        <v>0</v>
      </c>
      <c r="M435" s="103">
        <v>0</v>
      </c>
      <c r="N435" s="103">
        <f>O435+P435</f>
        <v>50000000</v>
      </c>
      <c r="O435" s="103">
        <v>50000000</v>
      </c>
      <c r="P435" s="103">
        <v>0</v>
      </c>
      <c r="Q435" s="103">
        <v>0</v>
      </c>
    </row>
    <row r="436" spans="1:17" ht="47" x14ac:dyDescent="0.35">
      <c r="A436" s="241" t="s">
        <v>366</v>
      </c>
      <c r="B436" s="242" t="s">
        <v>367</v>
      </c>
      <c r="C436" s="52">
        <f>C437</f>
        <v>0</v>
      </c>
      <c r="D436" s="52">
        <f>D437</f>
        <v>0</v>
      </c>
      <c r="E436" s="53">
        <f>E437</f>
        <v>0</v>
      </c>
      <c r="F436" s="54" t="s">
        <v>368</v>
      </c>
      <c r="G436" s="52">
        <f t="shared" si="263"/>
        <v>60421000</v>
      </c>
      <c r="H436" s="52">
        <f t="shared" si="261"/>
        <v>60421000</v>
      </c>
      <c r="I436" s="52">
        <f t="shared" si="261"/>
        <v>0</v>
      </c>
      <c r="J436" s="52">
        <f>J437</f>
        <v>0</v>
      </c>
      <c r="K436" s="52">
        <f t="shared" ref="K436:Q437" si="266">K437</f>
        <v>0</v>
      </c>
      <c r="L436" s="52">
        <f t="shared" si="266"/>
        <v>0</v>
      </c>
      <c r="M436" s="52">
        <f t="shared" si="266"/>
        <v>0</v>
      </c>
      <c r="N436" s="52">
        <f t="shared" si="266"/>
        <v>60421000</v>
      </c>
      <c r="O436" s="52">
        <f t="shared" si="266"/>
        <v>60421000</v>
      </c>
      <c r="P436" s="52">
        <f t="shared" si="266"/>
        <v>0</v>
      </c>
      <c r="Q436" s="52">
        <f t="shared" si="266"/>
        <v>0</v>
      </c>
    </row>
    <row r="437" spans="1:17" ht="28" customHeight="1" x14ac:dyDescent="0.35">
      <c r="A437" s="241"/>
      <c r="B437" s="242"/>
      <c r="C437" s="60">
        <v>0</v>
      </c>
      <c r="D437" s="60">
        <v>0</v>
      </c>
      <c r="E437" s="60">
        <v>0</v>
      </c>
      <c r="F437" s="61" t="s">
        <v>321</v>
      </c>
      <c r="G437" s="60">
        <f t="shared" si="263"/>
        <v>60421000</v>
      </c>
      <c r="H437" s="60">
        <f t="shared" si="261"/>
        <v>60421000</v>
      </c>
      <c r="I437" s="60">
        <f t="shared" si="261"/>
        <v>0</v>
      </c>
      <c r="J437" s="60">
        <f>J438</f>
        <v>0</v>
      </c>
      <c r="K437" s="60">
        <f t="shared" si="266"/>
        <v>0</v>
      </c>
      <c r="L437" s="60">
        <f t="shared" si="266"/>
        <v>0</v>
      </c>
      <c r="M437" s="60">
        <f t="shared" si="266"/>
        <v>0</v>
      </c>
      <c r="N437" s="60">
        <f t="shared" si="266"/>
        <v>60421000</v>
      </c>
      <c r="O437" s="60">
        <f t="shared" si="266"/>
        <v>60421000</v>
      </c>
      <c r="P437" s="60">
        <f t="shared" si="266"/>
        <v>0</v>
      </c>
      <c r="Q437" s="60">
        <f t="shared" si="266"/>
        <v>0</v>
      </c>
    </row>
    <row r="438" spans="1:17" ht="28" customHeight="1" x14ac:dyDescent="0.35">
      <c r="A438" s="241"/>
      <c r="B438" s="242"/>
      <c r="C438" s="19"/>
      <c r="D438" s="19"/>
      <c r="E438" s="19"/>
      <c r="F438" s="66" t="s">
        <v>322</v>
      </c>
      <c r="G438" s="68">
        <f t="shared" si="263"/>
        <v>60421000</v>
      </c>
      <c r="H438" s="68">
        <f t="shared" si="261"/>
        <v>60421000</v>
      </c>
      <c r="I438" s="68">
        <f t="shared" si="261"/>
        <v>0</v>
      </c>
      <c r="J438" s="68">
        <f>K438+L438</f>
        <v>0</v>
      </c>
      <c r="K438" s="68">
        <v>0</v>
      </c>
      <c r="L438" s="68">
        <v>0</v>
      </c>
      <c r="M438" s="68">
        <v>0</v>
      </c>
      <c r="N438" s="68">
        <f>O438+P438</f>
        <v>60421000</v>
      </c>
      <c r="O438" s="68">
        <v>60421000</v>
      </c>
      <c r="P438" s="68">
        <v>0</v>
      </c>
      <c r="Q438" s="68">
        <v>0</v>
      </c>
    </row>
    <row r="439" spans="1:17" ht="142.5" customHeight="1" x14ac:dyDescent="0.35">
      <c r="A439" s="241" t="s">
        <v>369</v>
      </c>
      <c r="B439" s="242" t="s">
        <v>370</v>
      </c>
      <c r="C439" s="52">
        <f>C440+C442</f>
        <v>0</v>
      </c>
      <c r="D439" s="52">
        <f>D440+D442</f>
        <v>55000000</v>
      </c>
      <c r="E439" s="53">
        <f>E440+E442</f>
        <v>0</v>
      </c>
      <c r="F439" s="54" t="s">
        <v>371</v>
      </c>
      <c r="G439" s="52">
        <f t="shared" si="263"/>
        <v>286015395</v>
      </c>
      <c r="H439" s="52">
        <f t="shared" si="261"/>
        <v>275709401</v>
      </c>
      <c r="I439" s="52">
        <f t="shared" si="261"/>
        <v>10305994</v>
      </c>
      <c r="J439" s="52">
        <f>J440+J442</f>
        <v>0</v>
      </c>
      <c r="K439" s="52">
        <f t="shared" ref="K439:Q439" si="267">K440+K442</f>
        <v>0</v>
      </c>
      <c r="L439" s="52">
        <f t="shared" si="267"/>
        <v>0</v>
      </c>
      <c r="M439" s="52">
        <f t="shared" si="267"/>
        <v>0</v>
      </c>
      <c r="N439" s="52">
        <f t="shared" si="267"/>
        <v>286015395</v>
      </c>
      <c r="O439" s="52">
        <f t="shared" si="267"/>
        <v>275709401</v>
      </c>
      <c r="P439" s="52">
        <f t="shared" si="267"/>
        <v>10305994</v>
      </c>
      <c r="Q439" s="52">
        <f t="shared" si="267"/>
        <v>0</v>
      </c>
    </row>
    <row r="440" spans="1:17" s="62" customFormat="1" ht="28" customHeight="1" x14ac:dyDescent="0.35">
      <c r="A440" s="241"/>
      <c r="B440" s="242"/>
      <c r="C440" s="60">
        <v>0</v>
      </c>
      <c r="D440" s="60">
        <v>0</v>
      </c>
      <c r="E440" s="60">
        <v>0</v>
      </c>
      <c r="F440" s="61" t="s">
        <v>321</v>
      </c>
      <c r="G440" s="60">
        <f t="shared" si="263"/>
        <v>201246750</v>
      </c>
      <c r="H440" s="60">
        <f t="shared" si="261"/>
        <v>192182446</v>
      </c>
      <c r="I440" s="60">
        <f t="shared" si="261"/>
        <v>9064304</v>
      </c>
      <c r="J440" s="60">
        <f>J441</f>
        <v>0</v>
      </c>
      <c r="K440" s="60">
        <f t="shared" ref="K440:Q440" si="268">K441</f>
        <v>0</v>
      </c>
      <c r="L440" s="60">
        <f t="shared" si="268"/>
        <v>0</v>
      </c>
      <c r="M440" s="60">
        <f t="shared" si="268"/>
        <v>0</v>
      </c>
      <c r="N440" s="60">
        <f t="shared" si="268"/>
        <v>201246750</v>
      </c>
      <c r="O440" s="60">
        <f t="shared" si="268"/>
        <v>192182446</v>
      </c>
      <c r="P440" s="60">
        <f t="shared" si="268"/>
        <v>9064304</v>
      </c>
      <c r="Q440" s="60">
        <f t="shared" si="268"/>
        <v>0</v>
      </c>
    </row>
    <row r="441" spans="1:17" s="62" customFormat="1" ht="28" customHeight="1" x14ac:dyDescent="0.35">
      <c r="A441" s="241"/>
      <c r="B441" s="242"/>
      <c r="C441" s="73"/>
      <c r="D441" s="73"/>
      <c r="E441" s="73"/>
      <c r="F441" s="66" t="s">
        <v>322</v>
      </c>
      <c r="G441" s="67">
        <f t="shared" si="263"/>
        <v>201246750</v>
      </c>
      <c r="H441" s="67">
        <f t="shared" si="261"/>
        <v>192182446</v>
      </c>
      <c r="I441" s="67">
        <f t="shared" si="261"/>
        <v>9064304</v>
      </c>
      <c r="J441" s="67">
        <f>K441+L441</f>
        <v>0</v>
      </c>
      <c r="K441" s="67">
        <v>0</v>
      </c>
      <c r="L441" s="67">
        <v>0</v>
      </c>
      <c r="M441" s="67">
        <v>0</v>
      </c>
      <c r="N441" s="67">
        <f>O441+P441</f>
        <v>201246750</v>
      </c>
      <c r="O441" s="67">
        <f>141552045+50630401</f>
        <v>192182446</v>
      </c>
      <c r="P441" s="67">
        <f>7048310+2015994</f>
        <v>9064304</v>
      </c>
      <c r="Q441" s="68">
        <v>0</v>
      </c>
    </row>
    <row r="442" spans="1:17" s="62" customFormat="1" ht="28" customHeight="1" x14ac:dyDescent="0.35">
      <c r="A442" s="241"/>
      <c r="B442" s="242"/>
      <c r="C442" s="60">
        <v>0</v>
      </c>
      <c r="D442" s="112">
        <f>G444</f>
        <v>55000000</v>
      </c>
      <c r="E442" s="60">
        <v>0</v>
      </c>
      <c r="F442" s="61" t="s">
        <v>49</v>
      </c>
      <c r="G442" s="60">
        <f t="shared" si="263"/>
        <v>84768645</v>
      </c>
      <c r="H442" s="60">
        <f t="shared" si="261"/>
        <v>83526955</v>
      </c>
      <c r="I442" s="60">
        <f t="shared" si="261"/>
        <v>1241690</v>
      </c>
      <c r="J442" s="60">
        <f>J443+J444</f>
        <v>0</v>
      </c>
      <c r="K442" s="60">
        <f t="shared" ref="K442:Q442" si="269">K443+K444</f>
        <v>0</v>
      </c>
      <c r="L442" s="60">
        <f t="shared" si="269"/>
        <v>0</v>
      </c>
      <c r="M442" s="60">
        <f t="shared" si="269"/>
        <v>0</v>
      </c>
      <c r="N442" s="60">
        <f t="shared" si="269"/>
        <v>84768645</v>
      </c>
      <c r="O442" s="60">
        <f t="shared" si="269"/>
        <v>83526955</v>
      </c>
      <c r="P442" s="60">
        <f t="shared" si="269"/>
        <v>1241690</v>
      </c>
      <c r="Q442" s="60">
        <f t="shared" si="269"/>
        <v>0</v>
      </c>
    </row>
    <row r="443" spans="1:17" s="62" customFormat="1" ht="28" customHeight="1" x14ac:dyDescent="0.35">
      <c r="A443" s="241"/>
      <c r="B443" s="242"/>
      <c r="C443" s="19"/>
      <c r="D443" s="19"/>
      <c r="E443" s="19"/>
      <c r="F443" s="66" t="s">
        <v>50</v>
      </c>
      <c r="G443" s="67">
        <f t="shared" si="263"/>
        <v>29768645</v>
      </c>
      <c r="H443" s="67">
        <f t="shared" si="261"/>
        <v>29276924</v>
      </c>
      <c r="I443" s="67">
        <f t="shared" si="261"/>
        <v>491721</v>
      </c>
      <c r="J443" s="67">
        <f>K443+L443</f>
        <v>0</v>
      </c>
      <c r="K443" s="67">
        <v>0</v>
      </c>
      <c r="L443" s="67">
        <v>0</v>
      </c>
      <c r="M443" s="67">
        <v>0</v>
      </c>
      <c r="N443" s="67">
        <f>O443+P443</f>
        <v>29768645</v>
      </c>
      <c r="O443" s="67">
        <v>29276924</v>
      </c>
      <c r="P443" s="67">
        <f>1441721-950000</f>
        <v>491721</v>
      </c>
      <c r="Q443" s="68">
        <v>0</v>
      </c>
    </row>
    <row r="444" spans="1:17" s="62" customFormat="1" ht="28" customHeight="1" x14ac:dyDescent="0.35">
      <c r="A444" s="241"/>
      <c r="B444" s="242"/>
      <c r="C444" s="73"/>
      <c r="D444" s="73"/>
      <c r="E444" s="73"/>
      <c r="F444" s="66" t="s">
        <v>372</v>
      </c>
      <c r="G444" s="103">
        <f t="shared" si="263"/>
        <v>55000000</v>
      </c>
      <c r="H444" s="103">
        <f t="shared" si="261"/>
        <v>54250031</v>
      </c>
      <c r="I444" s="103">
        <f t="shared" si="261"/>
        <v>749969</v>
      </c>
      <c r="J444" s="103">
        <f>K444+L444</f>
        <v>0</v>
      </c>
      <c r="K444" s="103">
        <v>0</v>
      </c>
      <c r="L444" s="103">
        <v>0</v>
      </c>
      <c r="M444" s="103">
        <v>0</v>
      </c>
      <c r="N444" s="103">
        <f>O444+P444</f>
        <v>55000000</v>
      </c>
      <c r="O444" s="103">
        <f>54250031</f>
        <v>54250031</v>
      </c>
      <c r="P444" s="103">
        <f>749969</f>
        <v>749969</v>
      </c>
      <c r="Q444" s="103">
        <v>0</v>
      </c>
    </row>
    <row r="445" spans="1:17" s="62" customFormat="1" ht="47" x14ac:dyDescent="0.35">
      <c r="A445" s="241" t="s">
        <v>358</v>
      </c>
      <c r="B445" s="242" t="s">
        <v>359</v>
      </c>
      <c r="C445" s="52">
        <f>C446</f>
        <v>0</v>
      </c>
      <c r="D445" s="52">
        <f>D446</f>
        <v>135000000</v>
      </c>
      <c r="E445" s="53">
        <f>E446</f>
        <v>0</v>
      </c>
      <c r="F445" s="54" t="s">
        <v>360</v>
      </c>
      <c r="G445" s="52">
        <f t="shared" si="263"/>
        <v>174243478</v>
      </c>
      <c r="H445" s="52">
        <f t="shared" si="261"/>
        <v>167765197</v>
      </c>
      <c r="I445" s="52">
        <f t="shared" si="261"/>
        <v>6478281</v>
      </c>
      <c r="J445" s="52">
        <f>J446</f>
        <v>0</v>
      </c>
      <c r="K445" s="52">
        <f t="shared" ref="K445:Q445" si="270">K446</f>
        <v>0</v>
      </c>
      <c r="L445" s="52">
        <f t="shared" si="270"/>
        <v>0</v>
      </c>
      <c r="M445" s="52">
        <f t="shared" si="270"/>
        <v>0</v>
      </c>
      <c r="N445" s="52">
        <f t="shared" si="270"/>
        <v>174243478</v>
      </c>
      <c r="O445" s="52">
        <f t="shared" si="270"/>
        <v>167765197</v>
      </c>
      <c r="P445" s="52">
        <f t="shared" si="270"/>
        <v>6478281</v>
      </c>
      <c r="Q445" s="52">
        <f t="shared" si="270"/>
        <v>0</v>
      </c>
    </row>
    <row r="446" spans="1:17" ht="28" customHeight="1" x14ac:dyDescent="0.35">
      <c r="A446" s="241"/>
      <c r="B446" s="242"/>
      <c r="C446" s="60">
        <v>0</v>
      </c>
      <c r="D446" s="112">
        <f>G448</f>
        <v>135000000</v>
      </c>
      <c r="E446" s="60">
        <v>0</v>
      </c>
      <c r="F446" s="61" t="s">
        <v>321</v>
      </c>
      <c r="G446" s="60">
        <f t="shared" si="263"/>
        <v>174243478</v>
      </c>
      <c r="H446" s="60">
        <f t="shared" ref="H446:I461" si="271">K446+O446</f>
        <v>167765197</v>
      </c>
      <c r="I446" s="60">
        <f t="shared" si="271"/>
        <v>6478281</v>
      </c>
      <c r="J446" s="60">
        <f>J447+J448</f>
        <v>0</v>
      </c>
      <c r="K446" s="60">
        <f t="shared" ref="K446:Q446" si="272">K447+K448</f>
        <v>0</v>
      </c>
      <c r="L446" s="60">
        <f t="shared" si="272"/>
        <v>0</v>
      </c>
      <c r="M446" s="60">
        <f t="shared" si="272"/>
        <v>0</v>
      </c>
      <c r="N446" s="60">
        <f t="shared" si="272"/>
        <v>174243478</v>
      </c>
      <c r="O446" s="60">
        <f t="shared" si="272"/>
        <v>167765197</v>
      </c>
      <c r="P446" s="60">
        <f t="shared" si="272"/>
        <v>6478281</v>
      </c>
      <c r="Q446" s="60">
        <f t="shared" si="272"/>
        <v>0</v>
      </c>
    </row>
    <row r="447" spans="1:17" ht="28" customHeight="1" x14ac:dyDescent="0.35">
      <c r="A447" s="241"/>
      <c r="B447" s="242"/>
      <c r="C447" s="19"/>
      <c r="D447" s="19"/>
      <c r="E447" s="19"/>
      <c r="F447" s="66" t="s">
        <v>322</v>
      </c>
      <c r="G447" s="67">
        <f t="shared" si="263"/>
        <v>39243478</v>
      </c>
      <c r="H447" s="67">
        <f t="shared" si="271"/>
        <v>32765197</v>
      </c>
      <c r="I447" s="67">
        <f t="shared" si="271"/>
        <v>6478281</v>
      </c>
      <c r="J447" s="67">
        <f>K447+L447</f>
        <v>0</v>
      </c>
      <c r="K447" s="67">
        <v>0</v>
      </c>
      <c r="L447" s="67">
        <v>0</v>
      </c>
      <c r="M447" s="67">
        <v>0</v>
      </c>
      <c r="N447" s="67">
        <f>O447+P447</f>
        <v>39243478</v>
      </c>
      <c r="O447" s="67">
        <f>58800000-26034803</f>
        <v>32765197</v>
      </c>
      <c r="P447" s="67">
        <f>4110000+2368281</f>
        <v>6478281</v>
      </c>
      <c r="Q447" s="68">
        <v>0</v>
      </c>
    </row>
    <row r="448" spans="1:17" ht="28" customHeight="1" x14ac:dyDescent="0.35">
      <c r="A448" s="241"/>
      <c r="B448" s="242"/>
      <c r="C448" s="19"/>
      <c r="D448" s="19"/>
      <c r="E448" s="19"/>
      <c r="F448" s="66" t="s">
        <v>323</v>
      </c>
      <c r="G448" s="103">
        <f t="shared" si="263"/>
        <v>135000000</v>
      </c>
      <c r="H448" s="103">
        <f t="shared" si="271"/>
        <v>135000000</v>
      </c>
      <c r="I448" s="103">
        <f t="shared" si="271"/>
        <v>0</v>
      </c>
      <c r="J448" s="103">
        <f>K448+L448</f>
        <v>0</v>
      </c>
      <c r="K448" s="103">
        <v>0</v>
      </c>
      <c r="L448" s="103">
        <v>0</v>
      </c>
      <c r="M448" s="103">
        <v>0</v>
      </c>
      <c r="N448" s="103">
        <f>O448+P448</f>
        <v>135000000</v>
      </c>
      <c r="O448" s="103">
        <v>135000000</v>
      </c>
      <c r="P448" s="103">
        <v>0</v>
      </c>
      <c r="Q448" s="103">
        <v>0</v>
      </c>
    </row>
    <row r="449" spans="1:17" ht="28.5" x14ac:dyDescent="0.35">
      <c r="A449" s="241" t="s">
        <v>373</v>
      </c>
      <c r="B449" s="242" t="s">
        <v>374</v>
      </c>
      <c r="C449" s="52">
        <f>C450+C455</f>
        <v>24071928</v>
      </c>
      <c r="D449" s="52">
        <f>D450+D455</f>
        <v>0</v>
      </c>
      <c r="E449" s="52">
        <f>E450+E455</f>
        <v>20125000</v>
      </c>
      <c r="F449" s="54" t="s">
        <v>375</v>
      </c>
      <c r="G449" s="52">
        <f t="shared" si="263"/>
        <v>47493735</v>
      </c>
      <c r="H449" s="52">
        <f t="shared" si="271"/>
        <v>44793735</v>
      </c>
      <c r="I449" s="52">
        <f t="shared" si="271"/>
        <v>2700000</v>
      </c>
      <c r="J449" s="52">
        <f>J450+J455</f>
        <v>47493735</v>
      </c>
      <c r="K449" s="52">
        <f t="shared" ref="K449:Q449" si="273">K450+K455</f>
        <v>44793735</v>
      </c>
      <c r="L449" s="52">
        <f>L450+L455</f>
        <v>2700000</v>
      </c>
      <c r="M449" s="52">
        <f t="shared" si="273"/>
        <v>0</v>
      </c>
      <c r="N449" s="52">
        <f t="shared" si="273"/>
        <v>0</v>
      </c>
      <c r="O449" s="52">
        <f t="shared" si="273"/>
        <v>0</v>
      </c>
      <c r="P449" s="52">
        <f t="shared" si="273"/>
        <v>0</v>
      </c>
      <c r="Q449" s="52">
        <f t="shared" si="273"/>
        <v>0</v>
      </c>
    </row>
    <row r="450" spans="1:17" ht="28" customHeight="1" x14ac:dyDescent="0.35">
      <c r="A450" s="241"/>
      <c r="B450" s="242"/>
      <c r="C450" s="99">
        <f>G453+G454</f>
        <v>24071928</v>
      </c>
      <c r="D450" s="60">
        <v>0</v>
      </c>
      <c r="E450" s="72">
        <f>G452</f>
        <v>20125000</v>
      </c>
      <c r="F450" s="61" t="s">
        <v>321</v>
      </c>
      <c r="G450" s="60">
        <f t="shared" si="263"/>
        <v>47493735</v>
      </c>
      <c r="H450" s="60">
        <f t="shared" si="271"/>
        <v>44793735</v>
      </c>
      <c r="I450" s="60">
        <f t="shared" si="271"/>
        <v>2700000</v>
      </c>
      <c r="J450" s="60">
        <f t="shared" ref="J450:Q450" si="274">J451+J452+J453+J454</f>
        <v>47493735</v>
      </c>
      <c r="K450" s="60">
        <f t="shared" si="274"/>
        <v>44793735</v>
      </c>
      <c r="L450" s="60">
        <f t="shared" si="274"/>
        <v>2700000</v>
      </c>
      <c r="M450" s="60">
        <f t="shared" si="274"/>
        <v>0</v>
      </c>
      <c r="N450" s="60">
        <f t="shared" si="274"/>
        <v>0</v>
      </c>
      <c r="O450" s="60">
        <f t="shared" si="274"/>
        <v>0</v>
      </c>
      <c r="P450" s="60">
        <f t="shared" si="274"/>
        <v>0</v>
      </c>
      <c r="Q450" s="60">
        <f t="shared" si="274"/>
        <v>0</v>
      </c>
    </row>
    <row r="451" spans="1:17" ht="28" customHeight="1" x14ac:dyDescent="0.35">
      <c r="A451" s="241"/>
      <c r="B451" s="242"/>
      <c r="C451" s="19"/>
      <c r="D451" s="19"/>
      <c r="E451" s="19"/>
      <c r="F451" s="66" t="s">
        <v>322</v>
      </c>
      <c r="G451" s="67">
        <f t="shared" si="263"/>
        <v>3296807</v>
      </c>
      <c r="H451" s="67">
        <f t="shared" si="271"/>
        <v>3296807</v>
      </c>
      <c r="I451" s="67">
        <f t="shared" si="271"/>
        <v>0</v>
      </c>
      <c r="J451" s="67">
        <f>K451+L451</f>
        <v>3296807</v>
      </c>
      <c r="K451" s="67">
        <f>2720000+576807</f>
        <v>3296807</v>
      </c>
      <c r="L451" s="67">
        <v>0</v>
      </c>
      <c r="M451" s="67">
        <v>0</v>
      </c>
      <c r="N451" s="67">
        <f>O451+P451</f>
        <v>0</v>
      </c>
      <c r="O451" s="67">
        <v>0</v>
      </c>
      <c r="P451" s="67">
        <v>0</v>
      </c>
      <c r="Q451" s="67">
        <v>0</v>
      </c>
    </row>
    <row r="452" spans="1:17" ht="28" customHeight="1" x14ac:dyDescent="0.35">
      <c r="A452" s="241"/>
      <c r="B452" s="242"/>
      <c r="C452" s="19"/>
      <c r="D452" s="19"/>
      <c r="E452" s="19"/>
      <c r="F452" s="66" t="s">
        <v>338</v>
      </c>
      <c r="G452" s="74">
        <f t="shared" si="263"/>
        <v>20125000</v>
      </c>
      <c r="H452" s="74">
        <f t="shared" si="271"/>
        <v>17425000</v>
      </c>
      <c r="I452" s="74">
        <f t="shared" si="271"/>
        <v>2700000</v>
      </c>
      <c r="J452" s="74">
        <f>K452+L452</f>
        <v>20125000</v>
      </c>
      <c r="K452" s="74">
        <v>17425000</v>
      </c>
      <c r="L452" s="74">
        <v>2700000</v>
      </c>
      <c r="M452" s="74">
        <v>0</v>
      </c>
      <c r="N452" s="74">
        <f>O452+P452</f>
        <v>0</v>
      </c>
      <c r="O452" s="74">
        <v>0</v>
      </c>
      <c r="P452" s="74">
        <v>0</v>
      </c>
      <c r="Q452" s="74">
        <v>0</v>
      </c>
    </row>
    <row r="453" spans="1:17" ht="28" customHeight="1" x14ac:dyDescent="0.35">
      <c r="A453" s="241"/>
      <c r="B453" s="242"/>
      <c r="C453" s="19"/>
      <c r="D453" s="19"/>
      <c r="E453" s="19"/>
      <c r="F453" s="66" t="s">
        <v>336</v>
      </c>
      <c r="G453" s="71">
        <f t="shared" si="263"/>
        <v>17824835</v>
      </c>
      <c r="H453" s="71">
        <f t="shared" si="271"/>
        <v>17824835</v>
      </c>
      <c r="I453" s="71">
        <f t="shared" si="271"/>
        <v>0</v>
      </c>
      <c r="J453" s="71">
        <f>K453+L453</f>
        <v>17824835</v>
      </c>
      <c r="K453" s="71">
        <f>38624650-3000000-1066227-400000-3500000-10748602-2084986</f>
        <v>17824835</v>
      </c>
      <c r="L453" s="71">
        <f>5000000-5000000</f>
        <v>0</v>
      </c>
      <c r="M453" s="71">
        <v>0</v>
      </c>
      <c r="N453" s="71">
        <f>O453+P453</f>
        <v>0</v>
      </c>
      <c r="O453" s="71">
        <v>0</v>
      </c>
      <c r="P453" s="71">
        <v>0</v>
      </c>
      <c r="Q453" s="71">
        <v>0</v>
      </c>
    </row>
    <row r="454" spans="1:17" ht="28" customHeight="1" x14ac:dyDescent="0.35">
      <c r="A454" s="241"/>
      <c r="B454" s="242"/>
      <c r="C454" s="19"/>
      <c r="D454" s="19"/>
      <c r="E454" s="19"/>
      <c r="F454" s="66" t="s">
        <v>337</v>
      </c>
      <c r="G454" s="71">
        <f t="shared" si="263"/>
        <v>6247093</v>
      </c>
      <c r="H454" s="71">
        <f t="shared" si="271"/>
        <v>6247093</v>
      </c>
      <c r="I454" s="71">
        <f t="shared" si="271"/>
        <v>0</v>
      </c>
      <c r="J454" s="71">
        <f>K454+L454</f>
        <v>6247093</v>
      </c>
      <c r="K454" s="71">
        <f>16300350-111249-540000-8115418-1208210-78380</f>
        <v>6247093</v>
      </c>
      <c r="L454" s="71">
        <v>0</v>
      </c>
      <c r="M454" s="71">
        <v>0</v>
      </c>
      <c r="N454" s="71">
        <f>O454+P454</f>
        <v>0</v>
      </c>
      <c r="O454" s="71">
        <v>0</v>
      </c>
      <c r="P454" s="71">
        <v>0</v>
      </c>
      <c r="Q454" s="71">
        <v>0</v>
      </c>
    </row>
    <row r="455" spans="1:17" ht="28" customHeight="1" x14ac:dyDescent="0.35">
      <c r="A455" s="241"/>
      <c r="B455" s="242"/>
      <c r="C455" s="60">
        <v>0</v>
      </c>
      <c r="D455" s="102">
        <f>G456</f>
        <v>0</v>
      </c>
      <c r="E455" s="60">
        <v>0</v>
      </c>
      <c r="F455" s="61" t="s">
        <v>186</v>
      </c>
      <c r="G455" s="60">
        <f t="shared" si="263"/>
        <v>0</v>
      </c>
      <c r="H455" s="60">
        <f t="shared" si="271"/>
        <v>0</v>
      </c>
      <c r="I455" s="60">
        <f t="shared" si="271"/>
        <v>0</v>
      </c>
      <c r="J455" s="60">
        <f>J456</f>
        <v>0</v>
      </c>
      <c r="K455" s="60">
        <f t="shared" ref="K455:Q455" si="275">K456</f>
        <v>0</v>
      </c>
      <c r="L455" s="60">
        <f t="shared" si="275"/>
        <v>0</v>
      </c>
      <c r="M455" s="60">
        <f t="shared" si="275"/>
        <v>0</v>
      </c>
      <c r="N455" s="60">
        <f t="shared" si="275"/>
        <v>0</v>
      </c>
      <c r="O455" s="60">
        <f t="shared" si="275"/>
        <v>0</v>
      </c>
      <c r="P455" s="60">
        <f t="shared" si="275"/>
        <v>0</v>
      </c>
      <c r="Q455" s="60">
        <f t="shared" si="275"/>
        <v>0</v>
      </c>
    </row>
    <row r="456" spans="1:17" ht="28" customHeight="1" x14ac:dyDescent="0.35">
      <c r="A456" s="241"/>
      <c r="B456" s="242"/>
      <c r="C456" s="19"/>
      <c r="D456" s="19"/>
      <c r="E456" s="19"/>
      <c r="F456" s="66" t="s">
        <v>187</v>
      </c>
      <c r="G456" s="103">
        <f t="shared" si="263"/>
        <v>0</v>
      </c>
      <c r="H456" s="103">
        <f t="shared" si="271"/>
        <v>0</v>
      </c>
      <c r="I456" s="103">
        <f t="shared" si="271"/>
        <v>0</v>
      </c>
      <c r="J456" s="103">
        <f>K456+L456</f>
        <v>0</v>
      </c>
      <c r="K456" s="103">
        <f>5000000-5000000</f>
        <v>0</v>
      </c>
      <c r="L456" s="103">
        <v>0</v>
      </c>
      <c r="M456" s="103">
        <v>0</v>
      </c>
      <c r="N456" s="103">
        <f>O456+P456</f>
        <v>0</v>
      </c>
      <c r="O456" s="103">
        <v>0</v>
      </c>
      <c r="P456" s="103">
        <v>0</v>
      </c>
      <c r="Q456" s="103">
        <v>0</v>
      </c>
    </row>
    <row r="457" spans="1:17" ht="47.15" customHeight="1" x14ac:dyDescent="0.35">
      <c r="A457" s="241" t="s">
        <v>376</v>
      </c>
      <c r="B457" s="242" t="s">
        <v>377</v>
      </c>
      <c r="C457" s="52">
        <f>C458+C462</f>
        <v>71654992</v>
      </c>
      <c r="D457" s="52">
        <f>D458+D462</f>
        <v>0</v>
      </c>
      <c r="E457" s="53">
        <f>E458+E462</f>
        <v>0</v>
      </c>
      <c r="F457" s="54" t="s">
        <v>378</v>
      </c>
      <c r="G457" s="52">
        <f t="shared" si="263"/>
        <v>167621525</v>
      </c>
      <c r="H457" s="52">
        <f t="shared" si="271"/>
        <v>153192554</v>
      </c>
      <c r="I457" s="52">
        <f t="shared" si="271"/>
        <v>14428971</v>
      </c>
      <c r="J457" s="52">
        <f>J458+J462</f>
        <v>167621525</v>
      </c>
      <c r="K457" s="52">
        <f t="shared" ref="K457:Q457" si="276">K458+K462</f>
        <v>153192554</v>
      </c>
      <c r="L457" s="52">
        <f t="shared" si="276"/>
        <v>14428971</v>
      </c>
      <c r="M457" s="52">
        <f t="shared" si="276"/>
        <v>0</v>
      </c>
      <c r="N457" s="52">
        <f t="shared" si="276"/>
        <v>0</v>
      </c>
      <c r="O457" s="52">
        <f t="shared" si="276"/>
        <v>0</v>
      </c>
      <c r="P457" s="52">
        <f t="shared" si="276"/>
        <v>0</v>
      </c>
      <c r="Q457" s="52">
        <f t="shared" si="276"/>
        <v>0</v>
      </c>
    </row>
    <row r="458" spans="1:17" ht="28" customHeight="1" x14ac:dyDescent="0.35">
      <c r="A458" s="241"/>
      <c r="B458" s="242"/>
      <c r="C458" s="99">
        <f>G460+G461</f>
        <v>51896299</v>
      </c>
      <c r="D458" s="60">
        <v>0</v>
      </c>
      <c r="E458" s="60">
        <v>0</v>
      </c>
      <c r="F458" s="61" t="s">
        <v>321</v>
      </c>
      <c r="G458" s="60">
        <f t="shared" si="263"/>
        <v>86362832</v>
      </c>
      <c r="H458" s="60">
        <f t="shared" si="271"/>
        <v>74633861</v>
      </c>
      <c r="I458" s="60">
        <f t="shared" si="271"/>
        <v>11728971</v>
      </c>
      <c r="J458" s="60">
        <f>J459+J460+J461</f>
        <v>86362832</v>
      </c>
      <c r="K458" s="60">
        <f t="shared" ref="K458:Q458" si="277">K459+K460+K461</f>
        <v>74633861</v>
      </c>
      <c r="L458" s="60">
        <f t="shared" si="277"/>
        <v>11728971</v>
      </c>
      <c r="M458" s="60">
        <f t="shared" si="277"/>
        <v>0</v>
      </c>
      <c r="N458" s="60">
        <f t="shared" si="277"/>
        <v>0</v>
      </c>
      <c r="O458" s="60">
        <f t="shared" si="277"/>
        <v>0</v>
      </c>
      <c r="P458" s="60">
        <f t="shared" si="277"/>
        <v>0</v>
      </c>
      <c r="Q458" s="60">
        <f t="shared" si="277"/>
        <v>0</v>
      </c>
    </row>
    <row r="459" spans="1:17" ht="27.75" customHeight="1" x14ac:dyDescent="0.35">
      <c r="A459" s="241"/>
      <c r="B459" s="242"/>
      <c r="C459" s="115"/>
      <c r="D459" s="116"/>
      <c r="E459" s="116"/>
      <c r="F459" s="66" t="s">
        <v>322</v>
      </c>
      <c r="G459" s="67">
        <f t="shared" si="263"/>
        <v>34466533</v>
      </c>
      <c r="H459" s="67">
        <f t="shared" si="271"/>
        <v>30837562</v>
      </c>
      <c r="I459" s="67">
        <f t="shared" si="271"/>
        <v>3628971</v>
      </c>
      <c r="J459" s="67">
        <f>K459+L459</f>
        <v>34466533</v>
      </c>
      <c r="K459" s="67">
        <f>45920000-14505631-576807</f>
        <v>30837562</v>
      </c>
      <c r="L459" s="67">
        <f>3650000+1000000-1021029</f>
        <v>3628971</v>
      </c>
      <c r="M459" s="68">
        <v>0</v>
      </c>
      <c r="N459" s="68">
        <f>O459+P459</f>
        <v>0</v>
      </c>
      <c r="O459" s="68">
        <v>0</v>
      </c>
      <c r="P459" s="68">
        <v>0</v>
      </c>
      <c r="Q459" s="68">
        <v>0</v>
      </c>
    </row>
    <row r="460" spans="1:17" ht="28" customHeight="1" x14ac:dyDescent="0.35">
      <c r="A460" s="241"/>
      <c r="B460" s="242"/>
      <c r="C460" s="115"/>
      <c r="D460" s="116"/>
      <c r="E460" s="116"/>
      <c r="F460" s="66" t="s">
        <v>336</v>
      </c>
      <c r="G460" s="71">
        <f t="shared" si="263"/>
        <v>50211328</v>
      </c>
      <c r="H460" s="71">
        <f t="shared" si="271"/>
        <v>42111328</v>
      </c>
      <c r="I460" s="71">
        <f t="shared" si="271"/>
        <v>8100000</v>
      </c>
      <c r="J460" s="71">
        <f>K460+L460</f>
        <v>50211328</v>
      </c>
      <c r="K460" s="71">
        <f>40510000+593485+400000+3500000+1140239-1157870-2874526</f>
        <v>42111328</v>
      </c>
      <c r="L460" s="71">
        <f>8100000</f>
        <v>8100000</v>
      </c>
      <c r="M460" s="71">
        <v>0</v>
      </c>
      <c r="N460" s="71">
        <f>O460+P460</f>
        <v>0</v>
      </c>
      <c r="O460" s="71">
        <v>0</v>
      </c>
      <c r="P460" s="71">
        <v>0</v>
      </c>
      <c r="Q460" s="71">
        <v>0</v>
      </c>
    </row>
    <row r="461" spans="1:17" ht="28" customHeight="1" x14ac:dyDescent="0.35">
      <c r="A461" s="241"/>
      <c r="B461" s="242"/>
      <c r="C461" s="115"/>
      <c r="D461" s="116"/>
      <c r="E461" s="116"/>
      <c r="F461" s="66" t="s">
        <v>337</v>
      </c>
      <c r="G461" s="71">
        <f t="shared" si="263"/>
        <v>1684971</v>
      </c>
      <c r="H461" s="71">
        <f t="shared" si="271"/>
        <v>1684971</v>
      </c>
      <c r="I461" s="71">
        <f t="shared" si="271"/>
        <v>0</v>
      </c>
      <c r="J461" s="71">
        <f>K461+L461</f>
        <v>1684971</v>
      </c>
      <c r="K461" s="71">
        <f>2750000+540000-1544905-60124</f>
        <v>1684971</v>
      </c>
      <c r="L461" s="71">
        <v>0</v>
      </c>
      <c r="M461" s="71">
        <v>0</v>
      </c>
      <c r="N461" s="71">
        <f>O461+P461</f>
        <v>0</v>
      </c>
      <c r="O461" s="71">
        <v>0</v>
      </c>
      <c r="P461" s="71">
        <v>0</v>
      </c>
      <c r="Q461" s="71">
        <v>0</v>
      </c>
    </row>
    <row r="462" spans="1:17" ht="28" customHeight="1" x14ac:dyDescent="0.35">
      <c r="A462" s="241"/>
      <c r="B462" s="242"/>
      <c r="C462" s="99">
        <f>G464+G465</f>
        <v>19758693</v>
      </c>
      <c r="D462" s="60">
        <v>0</v>
      </c>
      <c r="E462" s="60">
        <v>0</v>
      </c>
      <c r="F462" s="61" t="s">
        <v>49</v>
      </c>
      <c r="G462" s="60">
        <f t="shared" si="263"/>
        <v>81258693</v>
      </c>
      <c r="H462" s="60">
        <f t="shared" ref="H462:I480" si="278">K462+O462</f>
        <v>78558693</v>
      </c>
      <c r="I462" s="60">
        <f t="shared" si="278"/>
        <v>2700000</v>
      </c>
      <c r="J462" s="60">
        <f>J463+J464+J465</f>
        <v>81258693</v>
      </c>
      <c r="K462" s="60">
        <f t="shared" ref="K462:Q462" si="279">K463+K464+K465</f>
        <v>78558693</v>
      </c>
      <c r="L462" s="60">
        <f t="shared" si="279"/>
        <v>2700000</v>
      </c>
      <c r="M462" s="60">
        <f t="shared" si="279"/>
        <v>0</v>
      </c>
      <c r="N462" s="60">
        <f t="shared" si="279"/>
        <v>0</v>
      </c>
      <c r="O462" s="60">
        <f t="shared" si="279"/>
        <v>0</v>
      </c>
      <c r="P462" s="60">
        <f t="shared" si="279"/>
        <v>0</v>
      </c>
      <c r="Q462" s="60">
        <f t="shared" si="279"/>
        <v>0</v>
      </c>
    </row>
    <row r="463" spans="1:17" ht="28" customHeight="1" x14ac:dyDescent="0.35">
      <c r="A463" s="241"/>
      <c r="B463" s="242"/>
      <c r="C463" s="115"/>
      <c r="D463" s="117"/>
      <c r="E463" s="117"/>
      <c r="F463" s="66" t="s">
        <v>50</v>
      </c>
      <c r="G463" s="67">
        <f t="shared" si="263"/>
        <v>61500000</v>
      </c>
      <c r="H463" s="67">
        <f t="shared" si="278"/>
        <v>61500000</v>
      </c>
      <c r="I463" s="67">
        <f t="shared" si="278"/>
        <v>0</v>
      </c>
      <c r="J463" s="67">
        <f>K463+L463</f>
        <v>61500000</v>
      </c>
      <c r="K463" s="67">
        <f>81500000-20000000</f>
        <v>61500000</v>
      </c>
      <c r="L463" s="67">
        <v>0</v>
      </c>
      <c r="M463" s="68">
        <v>0</v>
      </c>
      <c r="N463" s="68">
        <f>O463+P463</f>
        <v>0</v>
      </c>
      <c r="O463" s="68">
        <v>0</v>
      </c>
      <c r="P463" s="68">
        <v>0</v>
      </c>
      <c r="Q463" s="68">
        <v>0</v>
      </c>
    </row>
    <row r="464" spans="1:17" ht="28" customHeight="1" x14ac:dyDescent="0.35">
      <c r="A464" s="241"/>
      <c r="B464" s="242"/>
      <c r="C464" s="115"/>
      <c r="D464" s="117"/>
      <c r="E464" s="117"/>
      <c r="F464" s="66" t="s">
        <v>379</v>
      </c>
      <c r="G464" s="71">
        <f t="shared" si="263"/>
        <v>19758693</v>
      </c>
      <c r="H464" s="71">
        <f t="shared" si="278"/>
        <v>17058693</v>
      </c>
      <c r="I464" s="71">
        <f t="shared" si="278"/>
        <v>2700000</v>
      </c>
      <c r="J464" s="71">
        <f>K464+L464</f>
        <v>19758693</v>
      </c>
      <c r="K464" s="71">
        <f>16500000+1716901-871394-286814</f>
        <v>17058693</v>
      </c>
      <c r="L464" s="71">
        <f>4000000-1300000</f>
        <v>2700000</v>
      </c>
      <c r="M464" s="71">
        <v>0</v>
      </c>
      <c r="N464" s="71">
        <f>O464+P464</f>
        <v>0</v>
      </c>
      <c r="O464" s="71">
        <v>0</v>
      </c>
      <c r="P464" s="71">
        <v>0</v>
      </c>
      <c r="Q464" s="71">
        <v>0</v>
      </c>
    </row>
    <row r="465" spans="1:17" ht="28" customHeight="1" x14ac:dyDescent="0.35">
      <c r="A465" s="241"/>
      <c r="B465" s="242"/>
      <c r="C465" s="115"/>
      <c r="D465" s="117"/>
      <c r="E465" s="117"/>
      <c r="F465" s="66" t="s">
        <v>380</v>
      </c>
      <c r="G465" s="71">
        <f t="shared" si="263"/>
        <v>0</v>
      </c>
      <c r="H465" s="71">
        <f t="shared" si="278"/>
        <v>0</v>
      </c>
      <c r="I465" s="71">
        <f t="shared" si="278"/>
        <v>0</v>
      </c>
      <c r="J465" s="71">
        <f>K465+L465</f>
        <v>0</v>
      </c>
      <c r="K465" s="71">
        <v>0</v>
      </c>
      <c r="L465" s="71">
        <v>0</v>
      </c>
      <c r="M465" s="71">
        <v>0</v>
      </c>
      <c r="N465" s="71">
        <f>O465+P465</f>
        <v>0</v>
      </c>
      <c r="O465" s="71">
        <v>0</v>
      </c>
      <c r="P465" s="71">
        <v>0</v>
      </c>
      <c r="Q465" s="71">
        <v>0</v>
      </c>
    </row>
    <row r="466" spans="1:17" ht="28.5" x14ac:dyDescent="0.35">
      <c r="A466" s="241" t="s">
        <v>381</v>
      </c>
      <c r="B466" s="242" t="s">
        <v>382</v>
      </c>
      <c r="C466" s="52">
        <f>C467</f>
        <v>0</v>
      </c>
      <c r="D466" s="52">
        <f>D467</f>
        <v>0</v>
      </c>
      <c r="E466" s="53">
        <f>E467</f>
        <v>0</v>
      </c>
      <c r="F466" s="54" t="s">
        <v>383</v>
      </c>
      <c r="G466" s="52">
        <f t="shared" si="263"/>
        <v>97757139</v>
      </c>
      <c r="H466" s="52">
        <f t="shared" si="278"/>
        <v>97757139</v>
      </c>
      <c r="I466" s="52">
        <f t="shared" si="278"/>
        <v>0</v>
      </c>
      <c r="J466" s="52">
        <f>J467</f>
        <v>97757139</v>
      </c>
      <c r="K466" s="52">
        <f t="shared" ref="K466:Q467" si="280">K467</f>
        <v>97757139</v>
      </c>
      <c r="L466" s="52">
        <f t="shared" si="280"/>
        <v>0</v>
      </c>
      <c r="M466" s="52">
        <f t="shared" si="280"/>
        <v>0</v>
      </c>
      <c r="N466" s="52">
        <f t="shared" si="280"/>
        <v>0</v>
      </c>
      <c r="O466" s="52">
        <f t="shared" si="280"/>
        <v>0</v>
      </c>
      <c r="P466" s="52">
        <f t="shared" si="280"/>
        <v>0</v>
      </c>
      <c r="Q466" s="52">
        <f t="shared" si="280"/>
        <v>0</v>
      </c>
    </row>
    <row r="467" spans="1:17" ht="28" customHeight="1" x14ac:dyDescent="0.35">
      <c r="A467" s="241"/>
      <c r="B467" s="242"/>
      <c r="C467" s="60">
        <v>0</v>
      </c>
      <c r="D467" s="60">
        <v>0</v>
      </c>
      <c r="E467" s="60">
        <v>0</v>
      </c>
      <c r="F467" s="61" t="s">
        <v>36</v>
      </c>
      <c r="G467" s="60">
        <f t="shared" si="263"/>
        <v>97757139</v>
      </c>
      <c r="H467" s="60">
        <f t="shared" si="278"/>
        <v>97757139</v>
      </c>
      <c r="I467" s="60">
        <f t="shared" si="278"/>
        <v>0</v>
      </c>
      <c r="J467" s="60">
        <f>J468</f>
        <v>97757139</v>
      </c>
      <c r="K467" s="60">
        <f t="shared" si="280"/>
        <v>97757139</v>
      </c>
      <c r="L467" s="60">
        <f t="shared" si="280"/>
        <v>0</v>
      </c>
      <c r="M467" s="60">
        <f t="shared" si="280"/>
        <v>0</v>
      </c>
      <c r="N467" s="60">
        <f t="shared" si="280"/>
        <v>0</v>
      </c>
      <c r="O467" s="60">
        <f t="shared" si="280"/>
        <v>0</v>
      </c>
      <c r="P467" s="60">
        <f t="shared" si="280"/>
        <v>0</v>
      </c>
      <c r="Q467" s="60">
        <f t="shared" si="280"/>
        <v>0</v>
      </c>
    </row>
    <row r="468" spans="1:17" ht="28" customHeight="1" x14ac:dyDescent="0.35">
      <c r="A468" s="241"/>
      <c r="B468" s="242"/>
      <c r="C468" s="19"/>
      <c r="D468" s="19"/>
      <c r="E468" s="19"/>
      <c r="F468" s="66" t="s">
        <v>37</v>
      </c>
      <c r="G468" s="67">
        <f t="shared" si="263"/>
        <v>97757139</v>
      </c>
      <c r="H468" s="67">
        <f t="shared" si="278"/>
        <v>97757139</v>
      </c>
      <c r="I468" s="67">
        <f t="shared" si="278"/>
        <v>0</v>
      </c>
      <c r="J468" s="67">
        <f>K468+L468</f>
        <v>97757139</v>
      </c>
      <c r="K468" s="67">
        <f>234150000-136392861</f>
        <v>97757139</v>
      </c>
      <c r="L468" s="67">
        <v>0</v>
      </c>
      <c r="M468" s="67">
        <v>0</v>
      </c>
      <c r="N468" s="67">
        <f>O468+P468</f>
        <v>0</v>
      </c>
      <c r="O468" s="67">
        <v>0</v>
      </c>
      <c r="P468" s="67">
        <v>0</v>
      </c>
      <c r="Q468" s="67">
        <v>0</v>
      </c>
    </row>
    <row r="469" spans="1:17" ht="30" customHeight="1" x14ac:dyDescent="0.35">
      <c r="A469" s="45" t="s">
        <v>384</v>
      </c>
      <c r="B469" s="46" t="s">
        <v>385</v>
      </c>
      <c r="C469" s="47">
        <f>C470+C474</f>
        <v>0</v>
      </c>
      <c r="D469" s="47">
        <f>D470+D474</f>
        <v>273700000</v>
      </c>
      <c r="E469" s="48">
        <f>E470+E474</f>
        <v>0</v>
      </c>
      <c r="F469" s="49"/>
      <c r="G469" s="48">
        <f>H469+I469</f>
        <v>273700000</v>
      </c>
      <c r="H469" s="48">
        <f t="shared" si="278"/>
        <v>270700000</v>
      </c>
      <c r="I469" s="48">
        <f t="shared" si="278"/>
        <v>3000000</v>
      </c>
      <c r="J469" s="48">
        <f>J470+J474</f>
        <v>71700000</v>
      </c>
      <c r="K469" s="48">
        <f t="shared" ref="K469:Q469" si="281">K470+K474</f>
        <v>71700000</v>
      </c>
      <c r="L469" s="48">
        <f t="shared" si="281"/>
        <v>0</v>
      </c>
      <c r="M469" s="48">
        <f t="shared" si="281"/>
        <v>0</v>
      </c>
      <c r="N469" s="48">
        <f t="shared" si="281"/>
        <v>202000000</v>
      </c>
      <c r="O469" s="48">
        <f t="shared" si="281"/>
        <v>199000000</v>
      </c>
      <c r="P469" s="48">
        <f t="shared" si="281"/>
        <v>3000000</v>
      </c>
      <c r="Q469" s="48">
        <f t="shared" si="281"/>
        <v>0</v>
      </c>
    </row>
    <row r="470" spans="1:17" ht="47" x14ac:dyDescent="0.35">
      <c r="A470" s="241" t="s">
        <v>386</v>
      </c>
      <c r="B470" s="242" t="s">
        <v>387</v>
      </c>
      <c r="C470" s="52">
        <f>C471</f>
        <v>0</v>
      </c>
      <c r="D470" s="52">
        <f>D471</f>
        <v>202000000</v>
      </c>
      <c r="E470" s="53">
        <f>E471</f>
        <v>0</v>
      </c>
      <c r="F470" s="54" t="s">
        <v>388</v>
      </c>
      <c r="G470" s="52">
        <f>J470+M470+N470+Q470</f>
        <v>202000000</v>
      </c>
      <c r="H470" s="52">
        <f t="shared" si="278"/>
        <v>199000000</v>
      </c>
      <c r="I470" s="52">
        <f t="shared" si="278"/>
        <v>3000000</v>
      </c>
      <c r="J470" s="52">
        <f t="shared" ref="J470:Q470" si="282">J471</f>
        <v>0</v>
      </c>
      <c r="K470" s="52">
        <f t="shared" si="282"/>
        <v>0</v>
      </c>
      <c r="L470" s="52">
        <f t="shared" si="282"/>
        <v>0</v>
      </c>
      <c r="M470" s="52">
        <f t="shared" si="282"/>
        <v>0</v>
      </c>
      <c r="N470" s="52">
        <f t="shared" si="282"/>
        <v>202000000</v>
      </c>
      <c r="O470" s="52">
        <f t="shared" si="282"/>
        <v>199000000</v>
      </c>
      <c r="P470" s="52">
        <f t="shared" si="282"/>
        <v>3000000</v>
      </c>
      <c r="Q470" s="52">
        <f t="shared" si="282"/>
        <v>0</v>
      </c>
    </row>
    <row r="471" spans="1:17" ht="28" customHeight="1" x14ac:dyDescent="0.35">
      <c r="A471" s="241"/>
      <c r="B471" s="242"/>
      <c r="C471" s="60">
        <v>0</v>
      </c>
      <c r="D471" s="112">
        <f>G473</f>
        <v>202000000</v>
      </c>
      <c r="E471" s="60">
        <v>0</v>
      </c>
      <c r="F471" s="61" t="s">
        <v>186</v>
      </c>
      <c r="G471" s="60">
        <f>J471+M471+N471</f>
        <v>202000000</v>
      </c>
      <c r="H471" s="60">
        <f t="shared" si="278"/>
        <v>199000000</v>
      </c>
      <c r="I471" s="60">
        <f t="shared" si="278"/>
        <v>3000000</v>
      </c>
      <c r="J471" s="60">
        <v>0</v>
      </c>
      <c r="K471" s="60">
        <f>J471-L471</f>
        <v>0</v>
      </c>
      <c r="L471" s="60">
        <v>0</v>
      </c>
      <c r="M471" s="60">
        <v>0</v>
      </c>
      <c r="N471" s="60">
        <f>SUM(O471:P471)</f>
        <v>202000000</v>
      </c>
      <c r="O471" s="77">
        <f>O472+O473</f>
        <v>199000000</v>
      </c>
      <c r="P471" s="77">
        <f>P472+P473</f>
        <v>3000000</v>
      </c>
      <c r="Q471" s="60">
        <v>0</v>
      </c>
    </row>
    <row r="472" spans="1:17" ht="28" customHeight="1" x14ac:dyDescent="0.35">
      <c r="A472" s="241"/>
      <c r="B472" s="242"/>
      <c r="C472" s="19"/>
      <c r="D472" s="19"/>
      <c r="E472" s="19"/>
      <c r="F472" s="66" t="s">
        <v>389</v>
      </c>
      <c r="G472" s="67">
        <f>J472+M472+N472+Q472</f>
        <v>0</v>
      </c>
      <c r="H472" s="67">
        <f t="shared" si="278"/>
        <v>0</v>
      </c>
      <c r="I472" s="67">
        <f t="shared" si="278"/>
        <v>0</v>
      </c>
      <c r="J472" s="67">
        <f>J471-J473</f>
        <v>0</v>
      </c>
      <c r="K472" s="67">
        <f>K471-K473</f>
        <v>0</v>
      </c>
      <c r="L472" s="67">
        <f>L471-L473</f>
        <v>0</v>
      </c>
      <c r="M472" s="67">
        <f>M471-M473</f>
        <v>0</v>
      </c>
      <c r="N472" s="67">
        <f>O472+P472</f>
        <v>0</v>
      </c>
      <c r="O472" s="67">
        <v>0</v>
      </c>
      <c r="P472" s="67">
        <v>0</v>
      </c>
      <c r="Q472" s="67">
        <f>Q471-Q473</f>
        <v>0</v>
      </c>
    </row>
    <row r="473" spans="1:17" ht="28" customHeight="1" x14ac:dyDescent="0.35">
      <c r="A473" s="241"/>
      <c r="B473" s="242"/>
      <c r="C473" s="19"/>
      <c r="D473" s="19"/>
      <c r="E473" s="19"/>
      <c r="F473" s="66" t="s">
        <v>187</v>
      </c>
      <c r="G473" s="103">
        <f>J473+M473+N473+Q473</f>
        <v>202000000</v>
      </c>
      <c r="H473" s="103">
        <f t="shared" si="278"/>
        <v>199000000</v>
      </c>
      <c r="I473" s="103">
        <f t="shared" si="278"/>
        <v>3000000</v>
      </c>
      <c r="J473" s="103">
        <f>J471</f>
        <v>0</v>
      </c>
      <c r="K473" s="103">
        <f>K471</f>
        <v>0</v>
      </c>
      <c r="L473" s="103">
        <f>L471</f>
        <v>0</v>
      </c>
      <c r="M473" s="103">
        <f>M471</f>
        <v>0</v>
      </c>
      <c r="N473" s="103">
        <f>O473+P473</f>
        <v>202000000</v>
      </c>
      <c r="O473" s="103">
        <f>167000000+32000000</f>
        <v>199000000</v>
      </c>
      <c r="P473" s="103">
        <v>3000000</v>
      </c>
      <c r="Q473" s="103">
        <f>Q471</f>
        <v>0</v>
      </c>
    </row>
    <row r="474" spans="1:17" ht="83.15" customHeight="1" x14ac:dyDescent="0.35">
      <c r="A474" s="241" t="s">
        <v>373</v>
      </c>
      <c r="B474" s="242" t="s">
        <v>374</v>
      </c>
      <c r="C474" s="52">
        <f>C475</f>
        <v>0</v>
      </c>
      <c r="D474" s="52">
        <f>D475</f>
        <v>71700000</v>
      </c>
      <c r="E474" s="53">
        <f>E475</f>
        <v>0</v>
      </c>
      <c r="F474" s="54" t="s">
        <v>375</v>
      </c>
      <c r="G474" s="52">
        <f>J474+M474+N474+Q474</f>
        <v>71700000</v>
      </c>
      <c r="H474" s="52">
        <f t="shared" si="278"/>
        <v>71700000</v>
      </c>
      <c r="I474" s="52">
        <f t="shared" si="278"/>
        <v>0</v>
      </c>
      <c r="J474" s="52">
        <f t="shared" ref="J474:Q474" si="283">J475</f>
        <v>71700000</v>
      </c>
      <c r="K474" s="52">
        <f t="shared" si="283"/>
        <v>71700000</v>
      </c>
      <c r="L474" s="52">
        <f t="shared" si="283"/>
        <v>0</v>
      </c>
      <c r="M474" s="52">
        <f t="shared" si="283"/>
        <v>0</v>
      </c>
      <c r="N474" s="52">
        <f t="shared" si="283"/>
        <v>0</v>
      </c>
      <c r="O474" s="52">
        <f t="shared" si="283"/>
        <v>0</v>
      </c>
      <c r="P474" s="52">
        <f t="shared" si="283"/>
        <v>0</v>
      </c>
      <c r="Q474" s="52">
        <f t="shared" si="283"/>
        <v>0</v>
      </c>
    </row>
    <row r="475" spans="1:17" ht="28" customHeight="1" x14ac:dyDescent="0.35">
      <c r="A475" s="241"/>
      <c r="B475" s="242"/>
      <c r="C475" s="60">
        <v>0</v>
      </c>
      <c r="D475" s="112">
        <f>G477</f>
        <v>71700000</v>
      </c>
      <c r="E475" s="60">
        <v>0</v>
      </c>
      <c r="F475" s="61" t="s">
        <v>186</v>
      </c>
      <c r="G475" s="60">
        <f>J475+M475+N475</f>
        <v>71700000</v>
      </c>
      <c r="H475" s="60">
        <f t="shared" si="278"/>
        <v>71700000</v>
      </c>
      <c r="I475" s="60">
        <f t="shared" si="278"/>
        <v>0</v>
      </c>
      <c r="J475" s="60">
        <f>J477</f>
        <v>71700000</v>
      </c>
      <c r="K475" s="60">
        <f>K477</f>
        <v>71700000</v>
      </c>
      <c r="L475" s="60">
        <v>0</v>
      </c>
      <c r="M475" s="60">
        <v>0</v>
      </c>
      <c r="N475" s="60">
        <f>SUM(O475:P475)</f>
        <v>0</v>
      </c>
      <c r="O475" s="77">
        <v>0</v>
      </c>
      <c r="P475" s="77">
        <v>0</v>
      </c>
      <c r="Q475" s="60">
        <v>0</v>
      </c>
    </row>
    <row r="476" spans="1:17" ht="28" customHeight="1" x14ac:dyDescent="0.35">
      <c r="A476" s="241"/>
      <c r="B476" s="242"/>
      <c r="C476" s="19"/>
      <c r="D476" s="19"/>
      <c r="E476" s="19"/>
      <c r="F476" s="66" t="s">
        <v>389</v>
      </c>
      <c r="G476" s="67">
        <f>J476+M476+N476+Q476</f>
        <v>0</v>
      </c>
      <c r="H476" s="67">
        <f t="shared" si="278"/>
        <v>0</v>
      </c>
      <c r="I476" s="67">
        <f t="shared" si="278"/>
        <v>0</v>
      </c>
      <c r="J476" s="68">
        <f>K476+L476</f>
        <v>0</v>
      </c>
      <c r="K476" s="68">
        <f t="shared" ref="K476:P476" si="284">K475-K477</f>
        <v>0</v>
      </c>
      <c r="L476" s="68">
        <f t="shared" si="284"/>
        <v>0</v>
      </c>
      <c r="M476" s="68">
        <f t="shared" si="284"/>
        <v>0</v>
      </c>
      <c r="N476" s="68">
        <f t="shared" si="284"/>
        <v>0</v>
      </c>
      <c r="O476" s="68">
        <f t="shared" si="284"/>
        <v>0</v>
      </c>
      <c r="P476" s="68">
        <f t="shared" si="284"/>
        <v>0</v>
      </c>
      <c r="Q476" s="68">
        <f>Q475-Q477</f>
        <v>0</v>
      </c>
    </row>
    <row r="477" spans="1:17" ht="28" customHeight="1" x14ac:dyDescent="0.35">
      <c r="A477" s="241"/>
      <c r="B477" s="242"/>
      <c r="C477" s="19"/>
      <c r="D477" s="19"/>
      <c r="E477" s="19"/>
      <c r="F477" s="66" t="s">
        <v>187</v>
      </c>
      <c r="G477" s="103">
        <f>J477+M477+N477+Q477</f>
        <v>71700000</v>
      </c>
      <c r="H477" s="103">
        <f t="shared" si="278"/>
        <v>71700000</v>
      </c>
      <c r="I477" s="103">
        <f t="shared" si="278"/>
        <v>0</v>
      </c>
      <c r="J477" s="103">
        <f>K477+L477</f>
        <v>71700000</v>
      </c>
      <c r="K477" s="103">
        <f>99000000-19000000-8300000</f>
        <v>71700000</v>
      </c>
      <c r="L477" s="103">
        <f t="shared" ref="L477:P477" si="285">L475</f>
        <v>0</v>
      </c>
      <c r="M477" s="103">
        <f t="shared" si="285"/>
        <v>0</v>
      </c>
      <c r="N477" s="103">
        <f t="shared" si="285"/>
        <v>0</v>
      </c>
      <c r="O477" s="103">
        <f t="shared" si="285"/>
        <v>0</v>
      </c>
      <c r="P477" s="103">
        <f t="shared" si="285"/>
        <v>0</v>
      </c>
      <c r="Q477" s="103">
        <f>Q475</f>
        <v>0</v>
      </c>
    </row>
    <row r="478" spans="1:17" ht="30" customHeight="1" x14ac:dyDescent="0.35">
      <c r="A478" s="45" t="s">
        <v>390</v>
      </c>
      <c r="B478" s="46" t="s">
        <v>391</v>
      </c>
      <c r="C478" s="47">
        <f>C479+C482+C485</f>
        <v>0</v>
      </c>
      <c r="D478" s="47">
        <f>D479+D482+D485</f>
        <v>0</v>
      </c>
      <c r="E478" s="48">
        <f>E479+E482+E485</f>
        <v>0</v>
      </c>
      <c r="F478" s="49"/>
      <c r="G478" s="48">
        <f>H478+I478</f>
        <v>69196597</v>
      </c>
      <c r="H478" s="48">
        <f t="shared" si="278"/>
        <v>66621597</v>
      </c>
      <c r="I478" s="48">
        <f t="shared" si="278"/>
        <v>2575000</v>
      </c>
      <c r="J478" s="48">
        <f t="shared" ref="J478:Q478" si="286">J479+J482+J485</f>
        <v>0</v>
      </c>
      <c r="K478" s="48">
        <f t="shared" si="286"/>
        <v>0</v>
      </c>
      <c r="L478" s="48">
        <f t="shared" si="286"/>
        <v>0</v>
      </c>
      <c r="M478" s="48">
        <f t="shared" si="286"/>
        <v>0</v>
      </c>
      <c r="N478" s="48">
        <f t="shared" si="286"/>
        <v>69196597</v>
      </c>
      <c r="O478" s="48">
        <f t="shared" si="286"/>
        <v>66621597</v>
      </c>
      <c r="P478" s="48">
        <f t="shared" si="286"/>
        <v>2575000</v>
      </c>
      <c r="Q478" s="48">
        <f t="shared" si="286"/>
        <v>0</v>
      </c>
    </row>
    <row r="479" spans="1:17" ht="159.65" customHeight="1" x14ac:dyDescent="0.35">
      <c r="A479" s="241" t="s">
        <v>318</v>
      </c>
      <c r="B479" s="242" t="s">
        <v>319</v>
      </c>
      <c r="C479" s="52">
        <f>C480</f>
        <v>0</v>
      </c>
      <c r="D479" s="52">
        <f>D480</f>
        <v>0</v>
      </c>
      <c r="E479" s="53">
        <f>E480</f>
        <v>0</v>
      </c>
      <c r="F479" s="54" t="s">
        <v>320</v>
      </c>
      <c r="G479" s="52">
        <f>J479+M479+N479+Q479</f>
        <v>26530000</v>
      </c>
      <c r="H479" s="52">
        <f t="shared" si="278"/>
        <v>25500000</v>
      </c>
      <c r="I479" s="52">
        <f t="shared" si="278"/>
        <v>1030000</v>
      </c>
      <c r="J479" s="52">
        <f t="shared" ref="J479:Q479" si="287">J480</f>
        <v>0</v>
      </c>
      <c r="K479" s="52">
        <f t="shared" si="287"/>
        <v>0</v>
      </c>
      <c r="L479" s="52">
        <f t="shared" si="287"/>
        <v>0</v>
      </c>
      <c r="M479" s="52">
        <f t="shared" si="287"/>
        <v>0</v>
      </c>
      <c r="N479" s="52">
        <f t="shared" si="287"/>
        <v>26530000</v>
      </c>
      <c r="O479" s="52">
        <f t="shared" si="287"/>
        <v>25500000</v>
      </c>
      <c r="P479" s="52">
        <f t="shared" si="287"/>
        <v>1030000</v>
      </c>
      <c r="Q479" s="52">
        <f t="shared" si="287"/>
        <v>0</v>
      </c>
    </row>
    <row r="480" spans="1:17" ht="28" customHeight="1" x14ac:dyDescent="0.35">
      <c r="A480" s="241"/>
      <c r="B480" s="242"/>
      <c r="C480" s="60">
        <v>0</v>
      </c>
      <c r="D480" s="60">
        <v>0</v>
      </c>
      <c r="E480" s="60">
        <v>0</v>
      </c>
      <c r="F480" s="61" t="s">
        <v>321</v>
      </c>
      <c r="G480" s="60">
        <f>J480+M480+N480</f>
        <v>26530000</v>
      </c>
      <c r="H480" s="60">
        <f t="shared" si="278"/>
        <v>25500000</v>
      </c>
      <c r="I480" s="60">
        <f t="shared" si="278"/>
        <v>1030000</v>
      </c>
      <c r="J480" s="60">
        <f>K480+L480</f>
        <v>0</v>
      </c>
      <c r="K480" s="60">
        <v>0</v>
      </c>
      <c r="L480" s="60">
        <v>0</v>
      </c>
      <c r="M480" s="60">
        <v>0</v>
      </c>
      <c r="N480" s="60">
        <f>SUM(O480:P480)</f>
        <v>26530000</v>
      </c>
      <c r="O480" s="77">
        <v>25500000</v>
      </c>
      <c r="P480" s="77">
        <v>1030000</v>
      </c>
      <c r="Q480" s="60">
        <v>0</v>
      </c>
    </row>
    <row r="481" spans="1:17" ht="28" customHeight="1" x14ac:dyDescent="0.35">
      <c r="A481" s="241"/>
      <c r="B481" s="242"/>
      <c r="C481" s="19"/>
      <c r="D481" s="19"/>
      <c r="E481" s="19"/>
      <c r="F481" s="66" t="s">
        <v>322</v>
      </c>
      <c r="G481" s="67">
        <f t="shared" ref="G481:P481" si="288">G480</f>
        <v>26530000</v>
      </c>
      <c r="H481" s="67">
        <f t="shared" si="288"/>
        <v>25500000</v>
      </c>
      <c r="I481" s="67">
        <f t="shared" si="288"/>
        <v>1030000</v>
      </c>
      <c r="J481" s="67">
        <f t="shared" si="288"/>
        <v>0</v>
      </c>
      <c r="K481" s="67">
        <f t="shared" si="288"/>
        <v>0</v>
      </c>
      <c r="L481" s="67">
        <f t="shared" si="288"/>
        <v>0</v>
      </c>
      <c r="M481" s="67">
        <f t="shared" si="288"/>
        <v>0</v>
      </c>
      <c r="N481" s="67">
        <f t="shared" si="288"/>
        <v>26530000</v>
      </c>
      <c r="O481" s="67">
        <f t="shared" si="288"/>
        <v>25500000</v>
      </c>
      <c r="P481" s="67">
        <f t="shared" si="288"/>
        <v>1030000</v>
      </c>
      <c r="Q481" s="67">
        <f>Q480</f>
        <v>0</v>
      </c>
    </row>
    <row r="482" spans="1:17" ht="204.65" customHeight="1" x14ac:dyDescent="0.35">
      <c r="A482" s="241" t="s">
        <v>344</v>
      </c>
      <c r="B482" s="242" t="s">
        <v>345</v>
      </c>
      <c r="C482" s="52">
        <f>C483</f>
        <v>0</v>
      </c>
      <c r="D482" s="52">
        <f>D483</f>
        <v>0</v>
      </c>
      <c r="E482" s="53">
        <f>E483</f>
        <v>0</v>
      </c>
      <c r="F482" s="54" t="s">
        <v>346</v>
      </c>
      <c r="G482" s="52">
        <f>J482+M482+N482+Q482</f>
        <v>16011597</v>
      </c>
      <c r="H482" s="52">
        <f>K482+O482</f>
        <v>15470597</v>
      </c>
      <c r="I482" s="52">
        <f>L482+P482</f>
        <v>541000</v>
      </c>
      <c r="J482" s="52">
        <f>J483</f>
        <v>0</v>
      </c>
      <c r="K482" s="52">
        <f>K483</f>
        <v>0</v>
      </c>
      <c r="L482" s="52">
        <f>L483</f>
        <v>0</v>
      </c>
      <c r="M482" s="52">
        <f t="shared" ref="M482:N485" si="289">M483</f>
        <v>0</v>
      </c>
      <c r="N482" s="52">
        <f t="shared" si="289"/>
        <v>16011597</v>
      </c>
      <c r="O482" s="52">
        <f>O483</f>
        <v>15470597</v>
      </c>
      <c r="P482" s="52">
        <f>P483</f>
        <v>541000</v>
      </c>
      <c r="Q482" s="52">
        <f>Q483</f>
        <v>0</v>
      </c>
    </row>
    <row r="483" spans="1:17" ht="28" customHeight="1" x14ac:dyDescent="0.35">
      <c r="A483" s="241"/>
      <c r="B483" s="242"/>
      <c r="C483" s="60">
        <v>0</v>
      </c>
      <c r="D483" s="60">
        <v>0</v>
      </c>
      <c r="E483" s="60">
        <v>0</v>
      </c>
      <c r="F483" s="61" t="s">
        <v>321</v>
      </c>
      <c r="G483" s="60">
        <f>J483+M483+N483</f>
        <v>16011597</v>
      </c>
      <c r="H483" s="60">
        <f t="shared" ref="H483:I483" si="290">K483+O483</f>
        <v>15470597</v>
      </c>
      <c r="I483" s="60">
        <f t="shared" si="290"/>
        <v>541000</v>
      </c>
      <c r="J483" s="60">
        <f>K483+L483</f>
        <v>0</v>
      </c>
      <c r="K483" s="60">
        <v>0</v>
      </c>
      <c r="L483" s="60">
        <v>0</v>
      </c>
      <c r="M483" s="60">
        <v>0</v>
      </c>
      <c r="N483" s="60">
        <f>SUM(O483:P483)</f>
        <v>16011597</v>
      </c>
      <c r="O483" s="77">
        <f>O484</f>
        <v>15470597</v>
      </c>
      <c r="P483" s="77">
        <f>P484</f>
        <v>541000</v>
      </c>
      <c r="Q483" s="60">
        <v>0</v>
      </c>
    </row>
    <row r="484" spans="1:17" ht="28" customHeight="1" x14ac:dyDescent="0.35">
      <c r="A484" s="241"/>
      <c r="B484" s="242"/>
      <c r="C484" s="19"/>
      <c r="D484" s="19"/>
      <c r="E484" s="19"/>
      <c r="F484" s="66" t="s">
        <v>322</v>
      </c>
      <c r="G484" s="67">
        <f>G483</f>
        <v>16011597</v>
      </c>
      <c r="H484" s="67">
        <f t="shared" ref="H484:Q484" si="291">H483</f>
        <v>15470597</v>
      </c>
      <c r="I484" s="67">
        <f t="shared" si="291"/>
        <v>541000</v>
      </c>
      <c r="J484" s="67">
        <f t="shared" si="291"/>
        <v>0</v>
      </c>
      <c r="K484" s="67">
        <f t="shared" si="291"/>
        <v>0</v>
      </c>
      <c r="L484" s="67">
        <f t="shared" si="291"/>
        <v>0</v>
      </c>
      <c r="M484" s="67">
        <f t="shared" si="291"/>
        <v>0</v>
      </c>
      <c r="N484" s="67">
        <f t="shared" si="291"/>
        <v>16011597</v>
      </c>
      <c r="O484" s="67">
        <f>14427000+1043597</f>
        <v>15470597</v>
      </c>
      <c r="P484" s="67">
        <v>541000</v>
      </c>
      <c r="Q484" s="67">
        <f t="shared" si="291"/>
        <v>0</v>
      </c>
    </row>
    <row r="485" spans="1:17" ht="47" x14ac:dyDescent="0.35">
      <c r="A485" s="241" t="s">
        <v>363</v>
      </c>
      <c r="B485" s="242" t="s">
        <v>364</v>
      </c>
      <c r="C485" s="52">
        <f>C486</f>
        <v>0</v>
      </c>
      <c r="D485" s="52">
        <f>D486</f>
        <v>0</v>
      </c>
      <c r="E485" s="53">
        <f>E486</f>
        <v>0</v>
      </c>
      <c r="F485" s="54" t="s">
        <v>365</v>
      </c>
      <c r="G485" s="52">
        <f>J485+M485+N485+Q485</f>
        <v>26655000</v>
      </c>
      <c r="H485" s="52">
        <f>K485+O485</f>
        <v>25651000</v>
      </c>
      <c r="I485" s="52">
        <f>L485+P485</f>
        <v>1004000</v>
      </c>
      <c r="J485" s="52">
        <f>J486</f>
        <v>0</v>
      </c>
      <c r="K485" s="52">
        <f>K486</f>
        <v>0</v>
      </c>
      <c r="L485" s="52">
        <f>L486</f>
        <v>0</v>
      </c>
      <c r="M485" s="52">
        <f t="shared" si="289"/>
        <v>0</v>
      </c>
      <c r="N485" s="52">
        <f t="shared" si="289"/>
        <v>26655000</v>
      </c>
      <c r="O485" s="52">
        <f>O486</f>
        <v>25651000</v>
      </c>
      <c r="P485" s="52">
        <f>P486</f>
        <v>1004000</v>
      </c>
      <c r="Q485" s="52">
        <f>Q486</f>
        <v>0</v>
      </c>
    </row>
    <row r="486" spans="1:17" ht="28" customHeight="1" x14ac:dyDescent="0.35">
      <c r="A486" s="241"/>
      <c r="B486" s="242"/>
      <c r="C486" s="60">
        <v>0</v>
      </c>
      <c r="D486" s="60">
        <v>0</v>
      </c>
      <c r="E486" s="60">
        <v>0</v>
      </c>
      <c r="F486" s="61" t="s">
        <v>321</v>
      </c>
      <c r="G486" s="60">
        <f>J486+M486+N486</f>
        <v>26655000</v>
      </c>
      <c r="H486" s="60">
        <f>K486+O486</f>
        <v>25651000</v>
      </c>
      <c r="I486" s="60">
        <f>L486+P486</f>
        <v>1004000</v>
      </c>
      <c r="J486" s="60">
        <f>K486+L486</f>
        <v>0</v>
      </c>
      <c r="K486" s="60">
        <v>0</v>
      </c>
      <c r="L486" s="60">
        <v>0</v>
      </c>
      <c r="M486" s="60">
        <v>0</v>
      </c>
      <c r="N486" s="60">
        <f>SUM(O486:P486)</f>
        <v>26655000</v>
      </c>
      <c r="O486" s="77">
        <v>25651000</v>
      </c>
      <c r="P486" s="77">
        <v>1004000</v>
      </c>
      <c r="Q486" s="60">
        <v>0</v>
      </c>
    </row>
    <row r="487" spans="1:17" ht="28" customHeight="1" x14ac:dyDescent="0.35">
      <c r="A487" s="241"/>
      <c r="B487" s="242"/>
      <c r="C487" s="19"/>
      <c r="D487" s="19"/>
      <c r="E487" s="19"/>
      <c r="F487" s="66" t="s">
        <v>322</v>
      </c>
      <c r="G487" s="67">
        <f t="shared" ref="G487:P487" si="292">G486</f>
        <v>26655000</v>
      </c>
      <c r="H487" s="67">
        <f t="shared" si="292"/>
        <v>25651000</v>
      </c>
      <c r="I487" s="67">
        <f t="shared" si="292"/>
        <v>1004000</v>
      </c>
      <c r="J487" s="67">
        <f t="shared" si="292"/>
        <v>0</v>
      </c>
      <c r="K487" s="67">
        <f t="shared" si="292"/>
        <v>0</v>
      </c>
      <c r="L487" s="67">
        <f t="shared" si="292"/>
        <v>0</v>
      </c>
      <c r="M487" s="67">
        <f t="shared" si="292"/>
        <v>0</v>
      </c>
      <c r="N487" s="67">
        <f t="shared" si="292"/>
        <v>26655000</v>
      </c>
      <c r="O487" s="67">
        <f t="shared" si="292"/>
        <v>25651000</v>
      </c>
      <c r="P487" s="67">
        <f t="shared" si="292"/>
        <v>1004000</v>
      </c>
      <c r="Q487" s="67">
        <f>Q486</f>
        <v>0</v>
      </c>
    </row>
    <row r="488" spans="1:17" ht="30" customHeight="1" x14ac:dyDescent="0.35">
      <c r="A488" s="45" t="s">
        <v>392</v>
      </c>
      <c r="B488" s="46" t="s">
        <v>393</v>
      </c>
      <c r="C488" s="47">
        <f t="shared" ref="C488:E489" si="293">C489</f>
        <v>0</v>
      </c>
      <c r="D488" s="47">
        <f t="shared" si="293"/>
        <v>0</v>
      </c>
      <c r="E488" s="48">
        <f t="shared" si="293"/>
        <v>0</v>
      </c>
      <c r="F488" s="49"/>
      <c r="G488" s="48">
        <f>H488+I488</f>
        <v>69196597</v>
      </c>
      <c r="H488" s="48">
        <f t="shared" ref="H488:I490" si="294">K488+O488</f>
        <v>69196597</v>
      </c>
      <c r="I488" s="48">
        <f t="shared" si="294"/>
        <v>0</v>
      </c>
      <c r="J488" s="48">
        <f t="shared" ref="J488:Q489" si="295">J489</f>
        <v>0</v>
      </c>
      <c r="K488" s="48">
        <f t="shared" si="295"/>
        <v>0</v>
      </c>
      <c r="L488" s="48">
        <f t="shared" si="295"/>
        <v>0</v>
      </c>
      <c r="M488" s="48">
        <f t="shared" si="295"/>
        <v>0</v>
      </c>
      <c r="N488" s="48">
        <f t="shared" si="295"/>
        <v>69196597</v>
      </c>
      <c r="O488" s="48">
        <f t="shared" si="295"/>
        <v>69196597</v>
      </c>
      <c r="P488" s="48">
        <f t="shared" si="295"/>
        <v>0</v>
      </c>
      <c r="Q488" s="48">
        <f>Q490</f>
        <v>0</v>
      </c>
    </row>
    <row r="489" spans="1:17" ht="79.5" customHeight="1" x14ac:dyDescent="0.35">
      <c r="A489" s="241" t="s">
        <v>394</v>
      </c>
      <c r="B489" s="242" t="s">
        <v>395</v>
      </c>
      <c r="C489" s="52">
        <f t="shared" si="293"/>
        <v>0</v>
      </c>
      <c r="D489" s="52">
        <f t="shared" si="293"/>
        <v>0</v>
      </c>
      <c r="E489" s="53">
        <f t="shared" si="293"/>
        <v>0</v>
      </c>
      <c r="F489" s="54" t="s">
        <v>396</v>
      </c>
      <c r="G489" s="52">
        <f>J489+M489+N489+Q489</f>
        <v>69196597</v>
      </c>
      <c r="H489" s="52">
        <f t="shared" si="294"/>
        <v>69196597</v>
      </c>
      <c r="I489" s="52">
        <f t="shared" si="294"/>
        <v>0</v>
      </c>
      <c r="J489" s="52">
        <f t="shared" si="295"/>
        <v>0</v>
      </c>
      <c r="K489" s="52">
        <f t="shared" si="295"/>
        <v>0</v>
      </c>
      <c r="L489" s="52">
        <f t="shared" si="295"/>
        <v>0</v>
      </c>
      <c r="M489" s="52">
        <f t="shared" si="295"/>
        <v>0</v>
      </c>
      <c r="N489" s="52">
        <f t="shared" si="295"/>
        <v>69196597</v>
      </c>
      <c r="O489" s="52">
        <f t="shared" si="295"/>
        <v>69196597</v>
      </c>
      <c r="P489" s="52">
        <f t="shared" si="295"/>
        <v>0</v>
      </c>
      <c r="Q489" s="52">
        <f t="shared" si="295"/>
        <v>0</v>
      </c>
    </row>
    <row r="490" spans="1:17" ht="28" customHeight="1" x14ac:dyDescent="0.35">
      <c r="A490" s="241"/>
      <c r="B490" s="242"/>
      <c r="C490" s="60">
        <v>0</v>
      </c>
      <c r="D490" s="60">
        <v>0</v>
      </c>
      <c r="E490" s="60">
        <v>0</v>
      </c>
      <c r="F490" s="61" t="s">
        <v>321</v>
      </c>
      <c r="G490" s="60">
        <f>J490+M490+N490</f>
        <v>69196597</v>
      </c>
      <c r="H490" s="60">
        <f t="shared" si="294"/>
        <v>69196597</v>
      </c>
      <c r="I490" s="60">
        <f t="shared" si="294"/>
        <v>0</v>
      </c>
      <c r="J490" s="60">
        <v>0</v>
      </c>
      <c r="K490" s="60">
        <v>0</v>
      </c>
      <c r="L490" s="60">
        <v>0</v>
      </c>
      <c r="M490" s="60">
        <v>0</v>
      </c>
      <c r="N490" s="60">
        <f>SUM(O490:P490)</f>
        <v>69196597</v>
      </c>
      <c r="O490" s="77">
        <f>O491</f>
        <v>69196597</v>
      </c>
      <c r="P490" s="77">
        <v>0</v>
      </c>
      <c r="Q490" s="60">
        <v>0</v>
      </c>
    </row>
    <row r="491" spans="1:17" ht="28" customHeight="1" x14ac:dyDescent="0.35">
      <c r="A491" s="241"/>
      <c r="B491" s="242"/>
      <c r="C491" s="19"/>
      <c r="D491" s="19"/>
      <c r="E491" s="19"/>
      <c r="F491" s="66" t="s">
        <v>322</v>
      </c>
      <c r="G491" s="67">
        <f t="shared" ref="G491:Q491" si="296">G490</f>
        <v>69196597</v>
      </c>
      <c r="H491" s="67">
        <f t="shared" si="296"/>
        <v>69196597</v>
      </c>
      <c r="I491" s="67">
        <f t="shared" si="296"/>
        <v>0</v>
      </c>
      <c r="J491" s="67">
        <f t="shared" si="296"/>
        <v>0</v>
      </c>
      <c r="K491" s="67">
        <f t="shared" si="296"/>
        <v>0</v>
      </c>
      <c r="L491" s="67">
        <f t="shared" si="296"/>
        <v>0</v>
      </c>
      <c r="M491" s="67">
        <f t="shared" si="296"/>
        <v>0</v>
      </c>
      <c r="N491" s="67">
        <f>O491+P491</f>
        <v>69196597</v>
      </c>
      <c r="O491" s="67">
        <f>68153000+1043597</f>
        <v>69196597</v>
      </c>
      <c r="P491" s="67">
        <f t="shared" si="296"/>
        <v>0</v>
      </c>
      <c r="Q491" s="67">
        <f t="shared" si="296"/>
        <v>0</v>
      </c>
    </row>
    <row r="492" spans="1:17" ht="28" customHeight="1" x14ac:dyDescent="0.35">
      <c r="A492" s="45" t="s">
        <v>768</v>
      </c>
      <c r="B492" s="46" t="s">
        <v>771</v>
      </c>
      <c r="C492" s="47">
        <f t="shared" ref="C492:E492" si="297">C493</f>
        <v>0</v>
      </c>
      <c r="D492" s="47">
        <f t="shared" si="297"/>
        <v>30000000</v>
      </c>
      <c r="E492" s="47">
        <f t="shared" si="297"/>
        <v>20000000</v>
      </c>
      <c r="F492" s="49"/>
      <c r="G492" s="48">
        <f>H492+I492</f>
        <v>74000000</v>
      </c>
      <c r="H492" s="48">
        <f t="shared" ref="H492:I499" si="298">K492+O492</f>
        <v>68500000</v>
      </c>
      <c r="I492" s="48">
        <f t="shared" si="298"/>
        <v>5500000</v>
      </c>
      <c r="J492" s="48">
        <f t="shared" ref="J492:Q492" si="299">J493</f>
        <v>74000000</v>
      </c>
      <c r="K492" s="48">
        <f t="shared" si="299"/>
        <v>68500000</v>
      </c>
      <c r="L492" s="48">
        <f t="shared" si="299"/>
        <v>5500000</v>
      </c>
      <c r="M492" s="48">
        <f t="shared" si="299"/>
        <v>0</v>
      </c>
      <c r="N492" s="48">
        <f t="shared" si="299"/>
        <v>0</v>
      </c>
      <c r="O492" s="48">
        <f t="shared" si="299"/>
        <v>0</v>
      </c>
      <c r="P492" s="48">
        <f t="shared" si="299"/>
        <v>0</v>
      </c>
      <c r="Q492" s="48">
        <f t="shared" si="299"/>
        <v>0</v>
      </c>
    </row>
    <row r="493" spans="1:17" ht="28" customHeight="1" x14ac:dyDescent="0.35">
      <c r="A493" s="243" t="s">
        <v>769</v>
      </c>
      <c r="B493" s="246" t="s">
        <v>770</v>
      </c>
      <c r="C493" s="52">
        <f>C494+C497</f>
        <v>0</v>
      </c>
      <c r="D493" s="52">
        <f t="shared" ref="D493:E493" si="300">D494+D497</f>
        <v>30000000</v>
      </c>
      <c r="E493" s="52">
        <f t="shared" si="300"/>
        <v>20000000</v>
      </c>
      <c r="F493" s="54" t="s">
        <v>772</v>
      </c>
      <c r="G493" s="52">
        <f>J493+M493+N493+Q493</f>
        <v>74000000</v>
      </c>
      <c r="H493" s="52">
        <f t="shared" ref="H493:I493" si="301">K493+N493+O493+R493</f>
        <v>68500000</v>
      </c>
      <c r="I493" s="52">
        <f t="shared" si="301"/>
        <v>5500000</v>
      </c>
      <c r="J493" s="52">
        <f>J494+J497</f>
        <v>74000000</v>
      </c>
      <c r="K493" s="52">
        <f t="shared" ref="K493:Q493" si="302">K494+K497</f>
        <v>68500000</v>
      </c>
      <c r="L493" s="52">
        <f t="shared" si="302"/>
        <v>5500000</v>
      </c>
      <c r="M493" s="52">
        <f t="shared" si="302"/>
        <v>0</v>
      </c>
      <c r="N493" s="52">
        <f t="shared" si="302"/>
        <v>0</v>
      </c>
      <c r="O493" s="52">
        <f t="shared" si="302"/>
        <v>0</v>
      </c>
      <c r="P493" s="52">
        <f t="shared" si="302"/>
        <v>0</v>
      </c>
      <c r="Q493" s="52">
        <f t="shared" si="302"/>
        <v>0</v>
      </c>
    </row>
    <row r="494" spans="1:17" ht="28" customHeight="1" x14ac:dyDescent="0.35">
      <c r="A494" s="244"/>
      <c r="B494" s="247"/>
      <c r="C494" s="60">
        <v>0</v>
      </c>
      <c r="D494" s="60">
        <v>0</v>
      </c>
      <c r="E494" s="72">
        <f>G496</f>
        <v>20000000</v>
      </c>
      <c r="F494" s="61" t="s">
        <v>321</v>
      </c>
      <c r="G494" s="60">
        <f>J494+M494+N494</f>
        <v>44000000</v>
      </c>
      <c r="H494" s="60">
        <f t="shared" si="298"/>
        <v>38500000</v>
      </c>
      <c r="I494" s="60">
        <f t="shared" si="298"/>
        <v>5500000</v>
      </c>
      <c r="J494" s="60">
        <f>J495+J496</f>
        <v>44000000</v>
      </c>
      <c r="K494" s="60">
        <f t="shared" ref="K494:Q494" si="303">K495+K496</f>
        <v>38500000</v>
      </c>
      <c r="L494" s="60">
        <f t="shared" si="303"/>
        <v>5500000</v>
      </c>
      <c r="M494" s="60">
        <f t="shared" si="303"/>
        <v>0</v>
      </c>
      <c r="N494" s="60">
        <f t="shared" si="303"/>
        <v>0</v>
      </c>
      <c r="O494" s="60">
        <f t="shared" si="303"/>
        <v>0</v>
      </c>
      <c r="P494" s="60">
        <f t="shared" si="303"/>
        <v>0</v>
      </c>
      <c r="Q494" s="60">
        <f t="shared" si="303"/>
        <v>0</v>
      </c>
    </row>
    <row r="495" spans="1:17" ht="28" customHeight="1" x14ac:dyDescent="0.35">
      <c r="A495" s="244"/>
      <c r="B495" s="247"/>
      <c r="C495" s="199"/>
      <c r="D495" s="200"/>
      <c r="E495" s="200"/>
      <c r="F495" s="66" t="s">
        <v>322</v>
      </c>
      <c r="G495" s="67">
        <f t="shared" ref="G495:G496" si="304">J495+M495+N495+Q495</f>
        <v>24000000</v>
      </c>
      <c r="H495" s="67">
        <f t="shared" si="298"/>
        <v>21000000</v>
      </c>
      <c r="I495" s="67">
        <f t="shared" si="298"/>
        <v>3000000</v>
      </c>
      <c r="J495" s="67">
        <f>K495+L495</f>
        <v>24000000</v>
      </c>
      <c r="K495" s="67">
        <f>24000000-3000000</f>
        <v>21000000</v>
      </c>
      <c r="L495" s="67">
        <f>3000000</f>
        <v>3000000</v>
      </c>
      <c r="M495" s="67">
        <v>0</v>
      </c>
      <c r="N495" s="67">
        <f>O495+P495</f>
        <v>0</v>
      </c>
      <c r="O495" s="67">
        <v>0</v>
      </c>
      <c r="P495" s="67">
        <v>0</v>
      </c>
      <c r="Q495" s="67">
        <v>0</v>
      </c>
    </row>
    <row r="496" spans="1:17" ht="28" customHeight="1" x14ac:dyDescent="0.35">
      <c r="A496" s="244"/>
      <c r="B496" s="247"/>
      <c r="C496" s="199"/>
      <c r="D496" s="200"/>
      <c r="E496" s="200"/>
      <c r="F496" s="66" t="s">
        <v>338</v>
      </c>
      <c r="G496" s="74">
        <f t="shared" si="304"/>
        <v>20000000</v>
      </c>
      <c r="H496" s="74">
        <f t="shared" si="298"/>
        <v>17500000</v>
      </c>
      <c r="I496" s="74">
        <f t="shared" si="298"/>
        <v>2500000</v>
      </c>
      <c r="J496" s="74">
        <f>K496+L496</f>
        <v>20000000</v>
      </c>
      <c r="K496" s="74">
        <f>20000000-2500000</f>
        <v>17500000</v>
      </c>
      <c r="L496" s="74">
        <f>2500000</f>
        <v>2500000</v>
      </c>
      <c r="M496" s="74">
        <v>0</v>
      </c>
      <c r="N496" s="74">
        <f>O496+P496</f>
        <v>0</v>
      </c>
      <c r="O496" s="74">
        <v>0</v>
      </c>
      <c r="P496" s="74">
        <v>0</v>
      </c>
      <c r="Q496" s="74">
        <v>0</v>
      </c>
    </row>
    <row r="497" spans="1:17" ht="28" customHeight="1" x14ac:dyDescent="0.35">
      <c r="A497" s="244"/>
      <c r="B497" s="247"/>
      <c r="C497" s="60">
        <v>0</v>
      </c>
      <c r="D497" s="112">
        <f>G498</f>
        <v>30000000</v>
      </c>
      <c r="E497" s="60">
        <v>0</v>
      </c>
      <c r="F497" s="61" t="s">
        <v>186</v>
      </c>
      <c r="G497" s="60">
        <f>J497+M497+N497</f>
        <v>30000000</v>
      </c>
      <c r="H497" s="60">
        <f t="shared" si="298"/>
        <v>30000000</v>
      </c>
      <c r="I497" s="60">
        <f t="shared" si="298"/>
        <v>0</v>
      </c>
      <c r="J497" s="60">
        <f>J498</f>
        <v>30000000</v>
      </c>
      <c r="K497" s="60">
        <f t="shared" ref="K497:Q497" si="305">K498</f>
        <v>30000000</v>
      </c>
      <c r="L497" s="60">
        <f t="shared" si="305"/>
        <v>0</v>
      </c>
      <c r="M497" s="60">
        <f t="shared" si="305"/>
        <v>0</v>
      </c>
      <c r="N497" s="60">
        <f t="shared" si="305"/>
        <v>0</v>
      </c>
      <c r="O497" s="60">
        <f t="shared" si="305"/>
        <v>0</v>
      </c>
      <c r="P497" s="60">
        <f t="shared" si="305"/>
        <v>0</v>
      </c>
      <c r="Q497" s="60">
        <f t="shared" si="305"/>
        <v>0</v>
      </c>
    </row>
    <row r="498" spans="1:17" ht="28" customHeight="1" x14ac:dyDescent="0.35">
      <c r="A498" s="245"/>
      <c r="B498" s="248"/>
      <c r="C498" s="199"/>
      <c r="D498" s="200"/>
      <c r="E498" s="200"/>
      <c r="F498" s="66" t="s">
        <v>187</v>
      </c>
      <c r="G498" s="103">
        <f>J498+M498+N498+Q498</f>
        <v>30000000</v>
      </c>
      <c r="H498" s="103">
        <f t="shared" si="298"/>
        <v>30000000</v>
      </c>
      <c r="I498" s="103">
        <f t="shared" si="298"/>
        <v>0</v>
      </c>
      <c r="J498" s="103">
        <f>K498+L498</f>
        <v>30000000</v>
      </c>
      <c r="K498" s="103">
        <f>6000000+5000000+19000000</f>
        <v>30000000</v>
      </c>
      <c r="L498" s="103">
        <v>0</v>
      </c>
      <c r="M498" s="103">
        <v>0</v>
      </c>
      <c r="N498" s="103">
        <f>O498+P498</f>
        <v>0</v>
      </c>
      <c r="O498" s="103">
        <v>0</v>
      </c>
      <c r="P498" s="103">
        <v>0</v>
      </c>
      <c r="Q498" s="103">
        <v>0</v>
      </c>
    </row>
    <row r="499" spans="1:17" ht="28.5" x14ac:dyDescent="0.35">
      <c r="A499" s="45" t="s">
        <v>773</v>
      </c>
      <c r="B499" s="201" t="s">
        <v>788</v>
      </c>
      <c r="C499" s="47">
        <f t="shared" ref="C499:E500" si="306">C500</f>
        <v>0</v>
      </c>
      <c r="D499" s="47">
        <f t="shared" si="306"/>
        <v>0</v>
      </c>
      <c r="E499" s="48">
        <f t="shared" si="306"/>
        <v>0</v>
      </c>
      <c r="F499" s="49"/>
      <c r="G499" s="48">
        <f>H499+I499</f>
        <v>2378000</v>
      </c>
      <c r="H499" s="48">
        <f t="shared" si="298"/>
        <v>1428000</v>
      </c>
      <c r="I499" s="48">
        <f t="shared" si="298"/>
        <v>950000</v>
      </c>
      <c r="J499" s="48">
        <f>J500</f>
        <v>0</v>
      </c>
      <c r="K499" s="48">
        <f t="shared" ref="K499:Q501" si="307">K500</f>
        <v>0</v>
      </c>
      <c r="L499" s="48">
        <f t="shared" si="307"/>
        <v>0</v>
      </c>
      <c r="M499" s="48">
        <f t="shared" si="307"/>
        <v>0</v>
      </c>
      <c r="N499" s="48">
        <f t="shared" si="307"/>
        <v>2378000</v>
      </c>
      <c r="O499" s="48">
        <f t="shared" si="307"/>
        <v>1428000</v>
      </c>
      <c r="P499" s="48">
        <f t="shared" si="307"/>
        <v>950000</v>
      </c>
      <c r="Q499" s="48">
        <f t="shared" si="307"/>
        <v>0</v>
      </c>
    </row>
    <row r="500" spans="1:17" ht="112" customHeight="1" x14ac:dyDescent="0.35">
      <c r="A500" s="239" t="s">
        <v>353</v>
      </c>
      <c r="B500" s="240" t="s">
        <v>354</v>
      </c>
      <c r="C500" s="52">
        <f t="shared" si="306"/>
        <v>0</v>
      </c>
      <c r="D500" s="52">
        <f t="shared" si="306"/>
        <v>0</v>
      </c>
      <c r="E500" s="53">
        <f t="shared" si="306"/>
        <v>0</v>
      </c>
      <c r="F500" s="54" t="s">
        <v>355</v>
      </c>
      <c r="G500" s="52">
        <f>J500+M500+N500+Q500</f>
        <v>2378000</v>
      </c>
      <c r="H500" s="52">
        <f t="shared" ref="H500:I500" si="308">K500+N500+O500+R500</f>
        <v>3806000</v>
      </c>
      <c r="I500" s="52">
        <f t="shared" si="308"/>
        <v>2378000</v>
      </c>
      <c r="J500" s="52">
        <f>J501</f>
        <v>0</v>
      </c>
      <c r="K500" s="52">
        <f t="shared" si="307"/>
        <v>0</v>
      </c>
      <c r="L500" s="52">
        <f t="shared" si="307"/>
        <v>0</v>
      </c>
      <c r="M500" s="52">
        <f t="shared" si="307"/>
        <v>0</v>
      </c>
      <c r="N500" s="52">
        <f t="shared" si="307"/>
        <v>2378000</v>
      </c>
      <c r="O500" s="52">
        <f t="shared" si="307"/>
        <v>1428000</v>
      </c>
      <c r="P500" s="52">
        <f t="shared" si="307"/>
        <v>950000</v>
      </c>
      <c r="Q500" s="52">
        <f t="shared" si="307"/>
        <v>0</v>
      </c>
    </row>
    <row r="501" spans="1:17" ht="28" customHeight="1" x14ac:dyDescent="0.35">
      <c r="A501" s="239"/>
      <c r="B501" s="240"/>
      <c r="C501" s="60">
        <v>0</v>
      </c>
      <c r="D501" s="60">
        <v>0</v>
      </c>
      <c r="E501" s="60">
        <v>0</v>
      </c>
      <c r="F501" s="61" t="s">
        <v>49</v>
      </c>
      <c r="G501" s="60">
        <f>J501+M501+N501</f>
        <v>2378000</v>
      </c>
      <c r="H501" s="60">
        <f t="shared" ref="H501:I501" si="309">K501+N501+O501</f>
        <v>3806000</v>
      </c>
      <c r="I501" s="60">
        <f t="shared" si="309"/>
        <v>2378000</v>
      </c>
      <c r="J501" s="60">
        <f>J502</f>
        <v>0</v>
      </c>
      <c r="K501" s="60">
        <f t="shared" si="307"/>
        <v>0</v>
      </c>
      <c r="L501" s="60">
        <f t="shared" si="307"/>
        <v>0</v>
      </c>
      <c r="M501" s="60">
        <f t="shared" si="307"/>
        <v>0</v>
      </c>
      <c r="N501" s="60">
        <f t="shared" si="307"/>
        <v>2378000</v>
      </c>
      <c r="O501" s="60">
        <f t="shared" si="307"/>
        <v>1428000</v>
      </c>
      <c r="P501" s="60">
        <f t="shared" si="307"/>
        <v>950000</v>
      </c>
      <c r="Q501" s="60">
        <f t="shared" si="307"/>
        <v>0</v>
      </c>
    </row>
    <row r="502" spans="1:17" ht="28" customHeight="1" x14ac:dyDescent="0.35">
      <c r="A502" s="239"/>
      <c r="B502" s="240"/>
      <c r="C502" s="199"/>
      <c r="D502" s="200"/>
      <c r="E502" s="200"/>
      <c r="F502" s="66" t="s">
        <v>50</v>
      </c>
      <c r="G502" s="67">
        <f t="shared" ref="G502:I502" si="310">J502+M502+N502+Q502</f>
        <v>2378000</v>
      </c>
      <c r="H502" s="67">
        <f t="shared" si="310"/>
        <v>3806000</v>
      </c>
      <c r="I502" s="67">
        <f t="shared" si="310"/>
        <v>2378000</v>
      </c>
      <c r="J502" s="67">
        <f>K502+L502</f>
        <v>0</v>
      </c>
      <c r="K502" s="67">
        <v>0</v>
      </c>
      <c r="L502" s="67">
        <v>0</v>
      </c>
      <c r="M502" s="67">
        <v>0</v>
      </c>
      <c r="N502" s="67">
        <f>O502+P502</f>
        <v>2378000</v>
      </c>
      <c r="O502" s="67">
        <f>1428000</f>
        <v>1428000</v>
      </c>
      <c r="P502" s="67">
        <f>950000</f>
        <v>950000</v>
      </c>
      <c r="Q502" s="67">
        <f t="shared" ref="Q502" si="311">R502+S502</f>
        <v>0</v>
      </c>
    </row>
    <row r="503" spans="1:17" s="111" customFormat="1" ht="78" x14ac:dyDescent="0.35">
      <c r="A503" s="39" t="s">
        <v>397</v>
      </c>
      <c r="B503" s="40" t="s">
        <v>398</v>
      </c>
      <c r="C503" s="41">
        <f>C504+C562+C567</f>
        <v>427803261</v>
      </c>
      <c r="D503" s="41">
        <f t="shared" ref="D503:Q503" si="312">D504+D562+D567</f>
        <v>0</v>
      </c>
      <c r="E503" s="41">
        <f t="shared" si="312"/>
        <v>0</v>
      </c>
      <c r="F503" s="43"/>
      <c r="G503" s="41">
        <f t="shared" si="312"/>
        <v>427803261</v>
      </c>
      <c r="H503" s="41">
        <f t="shared" si="312"/>
        <v>423933554</v>
      </c>
      <c r="I503" s="41">
        <f t="shared" si="312"/>
        <v>3869707</v>
      </c>
      <c r="J503" s="41">
        <f t="shared" si="312"/>
        <v>427803261</v>
      </c>
      <c r="K503" s="41">
        <f t="shared" si="312"/>
        <v>423933554</v>
      </c>
      <c r="L503" s="41">
        <f t="shared" si="312"/>
        <v>3869707</v>
      </c>
      <c r="M503" s="41">
        <f t="shared" si="312"/>
        <v>0</v>
      </c>
      <c r="N503" s="41">
        <f t="shared" si="312"/>
        <v>0</v>
      </c>
      <c r="O503" s="41">
        <f t="shared" si="312"/>
        <v>0</v>
      </c>
      <c r="P503" s="41">
        <f t="shared" si="312"/>
        <v>0</v>
      </c>
      <c r="Q503" s="41">
        <f t="shared" si="312"/>
        <v>0</v>
      </c>
    </row>
    <row r="504" spans="1:17" s="111" customFormat="1" ht="28.5" x14ac:dyDescent="0.35">
      <c r="A504" s="45" t="s">
        <v>399</v>
      </c>
      <c r="B504" s="46" t="s">
        <v>400</v>
      </c>
      <c r="C504" s="47">
        <f>C505+C536</f>
        <v>383215984</v>
      </c>
      <c r="D504" s="47">
        <f>D505+D536</f>
        <v>0</v>
      </c>
      <c r="E504" s="48">
        <f>E505+E536</f>
        <v>0</v>
      </c>
      <c r="F504" s="49"/>
      <c r="G504" s="48">
        <f t="shared" ref="G504:I565" si="313">J504+M504+N504+Q504</f>
        <v>383215984</v>
      </c>
      <c r="H504" s="48">
        <f t="shared" ref="H504:I525" si="314">K504+O504</f>
        <v>381194348</v>
      </c>
      <c r="I504" s="48">
        <f t="shared" si="314"/>
        <v>2021636</v>
      </c>
      <c r="J504" s="48">
        <f t="shared" ref="J504:Q504" si="315">J505+J536</f>
        <v>383215984</v>
      </c>
      <c r="K504" s="48">
        <f t="shared" si="315"/>
        <v>381194348</v>
      </c>
      <c r="L504" s="48">
        <f t="shared" si="315"/>
        <v>2021636</v>
      </c>
      <c r="M504" s="48">
        <f t="shared" si="315"/>
        <v>0</v>
      </c>
      <c r="N504" s="48">
        <f t="shared" si="315"/>
        <v>0</v>
      </c>
      <c r="O504" s="48">
        <f t="shared" si="315"/>
        <v>0</v>
      </c>
      <c r="P504" s="48">
        <f t="shared" si="315"/>
        <v>0</v>
      </c>
      <c r="Q504" s="48">
        <f t="shared" si="315"/>
        <v>0</v>
      </c>
    </row>
    <row r="505" spans="1:17" s="111" customFormat="1" ht="104" x14ac:dyDescent="0.35">
      <c r="A505" s="87" t="s">
        <v>401</v>
      </c>
      <c r="B505" s="88" t="s">
        <v>402</v>
      </c>
      <c r="C505" s="52">
        <f>C506+C511+C516+C521+C526+C531</f>
        <v>176766656</v>
      </c>
      <c r="D505" s="52">
        <f>D506+D511+D516+D521+D526+D531</f>
        <v>0</v>
      </c>
      <c r="E505" s="52">
        <f>E506+E511+E516+E521+E526+E531</f>
        <v>0</v>
      </c>
      <c r="F505" s="54" t="s">
        <v>403</v>
      </c>
      <c r="G505" s="52">
        <f t="shared" si="313"/>
        <v>176766656</v>
      </c>
      <c r="H505" s="52">
        <f t="shared" si="314"/>
        <v>174995020</v>
      </c>
      <c r="I505" s="52">
        <f t="shared" si="314"/>
        <v>1771636</v>
      </c>
      <c r="J505" s="52">
        <f t="shared" ref="J505:Q505" si="316">J506+J511+J516+J521+J526+J531</f>
        <v>176766656</v>
      </c>
      <c r="K505" s="52">
        <f>K506+K511+K516+K521+K526+K531</f>
        <v>174995020</v>
      </c>
      <c r="L505" s="52">
        <f t="shared" si="316"/>
        <v>1771636</v>
      </c>
      <c r="M505" s="52">
        <f t="shared" si="316"/>
        <v>0</v>
      </c>
      <c r="N505" s="52">
        <f t="shared" si="316"/>
        <v>0</v>
      </c>
      <c r="O505" s="52">
        <f t="shared" si="316"/>
        <v>0</v>
      </c>
      <c r="P505" s="52">
        <f t="shared" si="316"/>
        <v>0</v>
      </c>
      <c r="Q505" s="52">
        <f t="shared" si="316"/>
        <v>0</v>
      </c>
    </row>
    <row r="506" spans="1:17" s="111" customFormat="1" ht="28.5" x14ac:dyDescent="0.35">
      <c r="A506" s="234" t="s">
        <v>404</v>
      </c>
      <c r="B506" s="235" t="s">
        <v>405</v>
      </c>
      <c r="C506" s="56">
        <f>C507</f>
        <v>2762969</v>
      </c>
      <c r="D506" s="57">
        <f>D507</f>
        <v>0</v>
      </c>
      <c r="E506" s="58">
        <f>E507</f>
        <v>0</v>
      </c>
      <c r="F506" s="59" t="s">
        <v>406</v>
      </c>
      <c r="G506" s="58">
        <f t="shared" si="313"/>
        <v>2762969</v>
      </c>
      <c r="H506" s="58">
        <f t="shared" si="314"/>
        <v>2262969</v>
      </c>
      <c r="I506" s="58">
        <f t="shared" si="314"/>
        <v>500000</v>
      </c>
      <c r="J506" s="58">
        <f t="shared" ref="J506:Q506" si="317">J507</f>
        <v>2762969</v>
      </c>
      <c r="K506" s="58">
        <f t="shared" si="317"/>
        <v>2262969</v>
      </c>
      <c r="L506" s="58">
        <f t="shared" si="317"/>
        <v>500000</v>
      </c>
      <c r="M506" s="58">
        <f t="shared" si="317"/>
        <v>0</v>
      </c>
      <c r="N506" s="58">
        <f t="shared" si="317"/>
        <v>0</v>
      </c>
      <c r="O506" s="58">
        <f t="shared" si="317"/>
        <v>0</v>
      </c>
      <c r="P506" s="58">
        <f t="shared" si="317"/>
        <v>0</v>
      </c>
      <c r="Q506" s="58">
        <f t="shared" si="317"/>
        <v>0</v>
      </c>
    </row>
    <row r="507" spans="1:17" ht="28" customHeight="1" x14ac:dyDescent="0.35">
      <c r="A507" s="234"/>
      <c r="B507" s="235"/>
      <c r="C507" s="69">
        <f>G509+G510</f>
        <v>2762969</v>
      </c>
      <c r="D507" s="60">
        <v>0</v>
      </c>
      <c r="E507" s="60">
        <v>0</v>
      </c>
      <c r="F507" s="61" t="s">
        <v>36</v>
      </c>
      <c r="G507" s="60">
        <f t="shared" si="313"/>
        <v>2762969</v>
      </c>
      <c r="H507" s="60">
        <f t="shared" si="314"/>
        <v>2262969</v>
      </c>
      <c r="I507" s="60">
        <f t="shared" si="314"/>
        <v>500000</v>
      </c>
      <c r="J507" s="60">
        <f t="shared" ref="J507:Q507" si="318">J508+J509+J510</f>
        <v>2762969</v>
      </c>
      <c r="K507" s="60">
        <f t="shared" si="318"/>
        <v>2262969</v>
      </c>
      <c r="L507" s="60">
        <f t="shared" si="318"/>
        <v>500000</v>
      </c>
      <c r="M507" s="60">
        <f t="shared" si="318"/>
        <v>0</v>
      </c>
      <c r="N507" s="60">
        <f t="shared" si="318"/>
        <v>0</v>
      </c>
      <c r="O507" s="60">
        <f t="shared" si="318"/>
        <v>0</v>
      </c>
      <c r="P507" s="60">
        <f t="shared" si="318"/>
        <v>0</v>
      </c>
      <c r="Q507" s="60">
        <f t="shared" si="318"/>
        <v>0</v>
      </c>
    </row>
    <row r="508" spans="1:17" ht="28" customHeight="1" x14ac:dyDescent="0.35">
      <c r="A508" s="234"/>
      <c r="B508" s="235"/>
      <c r="C508" s="78"/>
      <c r="D508" s="78"/>
      <c r="E508" s="78"/>
      <c r="F508" s="66" t="s">
        <v>37</v>
      </c>
      <c r="G508" s="67">
        <f t="shared" si="313"/>
        <v>0</v>
      </c>
      <c r="H508" s="67">
        <f t="shared" si="314"/>
        <v>0</v>
      </c>
      <c r="I508" s="67">
        <f t="shared" si="314"/>
        <v>0</v>
      </c>
      <c r="J508" s="67">
        <f>K508+L508</f>
        <v>0</v>
      </c>
      <c r="K508" s="67">
        <v>0</v>
      </c>
      <c r="L508" s="67">
        <v>0</v>
      </c>
      <c r="M508" s="67">
        <v>0</v>
      </c>
      <c r="N508" s="67">
        <f>O508+P508</f>
        <v>0</v>
      </c>
      <c r="O508" s="67">
        <v>0</v>
      </c>
      <c r="P508" s="67">
        <v>0</v>
      </c>
      <c r="Q508" s="67">
        <v>0</v>
      </c>
    </row>
    <row r="509" spans="1:17" ht="28" customHeight="1" x14ac:dyDescent="0.35">
      <c r="A509" s="234"/>
      <c r="B509" s="235"/>
      <c r="C509" s="78"/>
      <c r="D509" s="78"/>
      <c r="E509" s="78"/>
      <c r="F509" s="66" t="s">
        <v>38</v>
      </c>
      <c r="G509" s="71">
        <f t="shared" si="313"/>
        <v>0</v>
      </c>
      <c r="H509" s="71">
        <f t="shared" si="314"/>
        <v>0</v>
      </c>
      <c r="I509" s="71">
        <f t="shared" si="314"/>
        <v>0</v>
      </c>
      <c r="J509" s="71">
        <f>K509+L509</f>
        <v>0</v>
      </c>
      <c r="K509" s="71">
        <v>0</v>
      </c>
      <c r="L509" s="71">
        <v>0</v>
      </c>
      <c r="M509" s="71">
        <v>0</v>
      </c>
      <c r="N509" s="71">
        <f>O509+P509</f>
        <v>0</v>
      </c>
      <c r="O509" s="71">
        <v>0</v>
      </c>
      <c r="P509" s="71">
        <v>0</v>
      </c>
      <c r="Q509" s="71">
        <v>0</v>
      </c>
    </row>
    <row r="510" spans="1:17" ht="28" customHeight="1" x14ac:dyDescent="0.35">
      <c r="A510" s="234"/>
      <c r="B510" s="235"/>
      <c r="C510" s="78"/>
      <c r="D510" s="78"/>
      <c r="E510" s="78"/>
      <c r="F510" s="66" t="s">
        <v>39</v>
      </c>
      <c r="G510" s="71">
        <f t="shared" si="313"/>
        <v>2762969</v>
      </c>
      <c r="H510" s="71">
        <f t="shared" si="314"/>
        <v>2262969</v>
      </c>
      <c r="I510" s="71">
        <f t="shared" si="314"/>
        <v>500000</v>
      </c>
      <c r="J510" s="71">
        <f>K510+L510</f>
        <v>2762969</v>
      </c>
      <c r="K510" s="71">
        <f>6810000-264627-187457-53277-106992-60270-421391-410499-237709-216990-340534-155370-418150-1673765</f>
        <v>2262969</v>
      </c>
      <c r="L510" s="71">
        <v>500000</v>
      </c>
      <c r="M510" s="71">
        <v>0</v>
      </c>
      <c r="N510" s="71">
        <f>O510+P510</f>
        <v>0</v>
      </c>
      <c r="O510" s="71">
        <v>0</v>
      </c>
      <c r="P510" s="71">
        <v>0</v>
      </c>
      <c r="Q510" s="71">
        <v>0</v>
      </c>
    </row>
    <row r="511" spans="1:17" ht="93.75" customHeight="1" x14ac:dyDescent="0.35">
      <c r="A511" s="234" t="s">
        <v>407</v>
      </c>
      <c r="B511" s="235" t="s">
        <v>408</v>
      </c>
      <c r="C511" s="56">
        <f>C512</f>
        <v>1400354</v>
      </c>
      <c r="D511" s="57">
        <f>D512</f>
        <v>0</v>
      </c>
      <c r="E511" s="58">
        <f>E512</f>
        <v>0</v>
      </c>
      <c r="F511" s="59" t="s">
        <v>409</v>
      </c>
      <c r="G511" s="58">
        <f t="shared" si="313"/>
        <v>1400354</v>
      </c>
      <c r="H511" s="58">
        <f t="shared" si="314"/>
        <v>900354</v>
      </c>
      <c r="I511" s="58">
        <f t="shared" si="314"/>
        <v>500000</v>
      </c>
      <c r="J511" s="58">
        <f t="shared" ref="J511:Q511" si="319">J512</f>
        <v>1400354</v>
      </c>
      <c r="K511" s="58">
        <f t="shared" si="319"/>
        <v>900354</v>
      </c>
      <c r="L511" s="58">
        <f t="shared" si="319"/>
        <v>500000</v>
      </c>
      <c r="M511" s="58">
        <f t="shared" si="319"/>
        <v>0</v>
      </c>
      <c r="N511" s="58">
        <f t="shared" si="319"/>
        <v>0</v>
      </c>
      <c r="O511" s="58">
        <f t="shared" si="319"/>
        <v>0</v>
      </c>
      <c r="P511" s="58">
        <f t="shared" si="319"/>
        <v>0</v>
      </c>
      <c r="Q511" s="58">
        <f t="shared" si="319"/>
        <v>0</v>
      </c>
    </row>
    <row r="512" spans="1:17" ht="28" customHeight="1" x14ac:dyDescent="0.35">
      <c r="A512" s="234"/>
      <c r="B512" s="235"/>
      <c r="C512" s="69">
        <f>G514+G515</f>
        <v>1400354</v>
      </c>
      <c r="D512" s="60">
        <v>0</v>
      </c>
      <c r="E512" s="60">
        <v>0</v>
      </c>
      <c r="F512" s="61" t="s">
        <v>36</v>
      </c>
      <c r="G512" s="60">
        <f t="shared" si="313"/>
        <v>1400354</v>
      </c>
      <c r="H512" s="60">
        <f t="shared" si="314"/>
        <v>900354</v>
      </c>
      <c r="I512" s="60">
        <f t="shared" si="314"/>
        <v>500000</v>
      </c>
      <c r="J512" s="60">
        <f t="shared" ref="J512:Q512" si="320">J513+J514+J515</f>
        <v>1400354</v>
      </c>
      <c r="K512" s="60">
        <f t="shared" si="320"/>
        <v>900354</v>
      </c>
      <c r="L512" s="60">
        <f t="shared" si="320"/>
        <v>500000</v>
      </c>
      <c r="M512" s="60">
        <f t="shared" si="320"/>
        <v>0</v>
      </c>
      <c r="N512" s="60">
        <f t="shared" si="320"/>
        <v>0</v>
      </c>
      <c r="O512" s="60">
        <f t="shared" si="320"/>
        <v>0</v>
      </c>
      <c r="P512" s="60">
        <f t="shared" si="320"/>
        <v>0</v>
      </c>
      <c r="Q512" s="60">
        <f t="shared" si="320"/>
        <v>0</v>
      </c>
    </row>
    <row r="513" spans="1:17" ht="28" customHeight="1" x14ac:dyDescent="0.35">
      <c r="A513" s="234"/>
      <c r="B513" s="235"/>
      <c r="C513" s="78"/>
      <c r="D513" s="78"/>
      <c r="E513" s="15"/>
      <c r="F513" s="66" t="s">
        <v>37</v>
      </c>
      <c r="G513" s="67">
        <f t="shared" si="313"/>
        <v>0</v>
      </c>
      <c r="H513" s="67">
        <f t="shared" si="314"/>
        <v>0</v>
      </c>
      <c r="I513" s="67">
        <f t="shared" si="314"/>
        <v>0</v>
      </c>
      <c r="J513" s="67">
        <f>K513+L513</f>
        <v>0</v>
      </c>
      <c r="K513" s="67">
        <v>0</v>
      </c>
      <c r="L513" s="67">
        <v>0</v>
      </c>
      <c r="M513" s="67">
        <v>0</v>
      </c>
      <c r="N513" s="67">
        <f>O513+P513</f>
        <v>0</v>
      </c>
      <c r="O513" s="67">
        <v>0</v>
      </c>
      <c r="P513" s="67">
        <v>0</v>
      </c>
      <c r="Q513" s="67">
        <v>0</v>
      </c>
    </row>
    <row r="514" spans="1:17" ht="28" customHeight="1" x14ac:dyDescent="0.35">
      <c r="A514" s="234"/>
      <c r="B514" s="235"/>
      <c r="C514" s="78"/>
      <c r="D514" s="78"/>
      <c r="E514" s="15"/>
      <c r="F514" s="66" t="s">
        <v>38</v>
      </c>
      <c r="G514" s="71">
        <f t="shared" si="313"/>
        <v>0</v>
      </c>
      <c r="H514" s="71">
        <f t="shared" si="314"/>
        <v>0</v>
      </c>
      <c r="I514" s="71">
        <f t="shared" si="314"/>
        <v>0</v>
      </c>
      <c r="J514" s="71">
        <f>K514+L514</f>
        <v>0</v>
      </c>
      <c r="K514" s="71">
        <v>0</v>
      </c>
      <c r="L514" s="71">
        <v>0</v>
      </c>
      <c r="M514" s="71">
        <v>0</v>
      </c>
      <c r="N514" s="71">
        <f>O514+P514</f>
        <v>0</v>
      </c>
      <c r="O514" s="71">
        <v>0</v>
      </c>
      <c r="P514" s="71">
        <v>0</v>
      </c>
      <c r="Q514" s="71">
        <v>0</v>
      </c>
    </row>
    <row r="515" spans="1:17" ht="28" customHeight="1" x14ac:dyDescent="0.35">
      <c r="A515" s="234"/>
      <c r="B515" s="235"/>
      <c r="C515" s="78"/>
      <c r="D515" s="78"/>
      <c r="E515" s="15"/>
      <c r="F515" s="66" t="s">
        <v>39</v>
      </c>
      <c r="G515" s="71">
        <f t="shared" si="313"/>
        <v>1400354</v>
      </c>
      <c r="H515" s="71">
        <f t="shared" si="314"/>
        <v>900354</v>
      </c>
      <c r="I515" s="71">
        <f t="shared" si="314"/>
        <v>500000</v>
      </c>
      <c r="J515" s="71">
        <f>K515+L515</f>
        <v>1400354</v>
      </c>
      <c r="K515" s="71">
        <f>6500000-254980-185063-155337-155338-416081-500000-344905-44360-190000-230866-214017-332545-358941-153643-259327-170000-1634243</f>
        <v>900354</v>
      </c>
      <c r="L515" s="71">
        <v>500000</v>
      </c>
      <c r="M515" s="71">
        <v>0</v>
      </c>
      <c r="N515" s="71">
        <f>O515+P515</f>
        <v>0</v>
      </c>
      <c r="O515" s="71">
        <v>0</v>
      </c>
      <c r="P515" s="71">
        <v>0</v>
      </c>
      <c r="Q515" s="71">
        <v>0</v>
      </c>
    </row>
    <row r="516" spans="1:17" ht="28" customHeight="1" x14ac:dyDescent="0.35">
      <c r="A516" s="234" t="s">
        <v>410</v>
      </c>
      <c r="B516" s="235" t="s">
        <v>411</v>
      </c>
      <c r="C516" s="56">
        <f>C517</f>
        <v>1536072</v>
      </c>
      <c r="D516" s="57">
        <f>D517</f>
        <v>0</v>
      </c>
      <c r="E516" s="58">
        <f>E517</f>
        <v>0</v>
      </c>
      <c r="F516" s="59" t="s">
        <v>412</v>
      </c>
      <c r="G516" s="58">
        <f t="shared" si="313"/>
        <v>1536072</v>
      </c>
      <c r="H516" s="58">
        <f t="shared" si="314"/>
        <v>1536072</v>
      </c>
      <c r="I516" s="58">
        <f t="shared" si="314"/>
        <v>0</v>
      </c>
      <c r="J516" s="58">
        <f t="shared" ref="J516:Q516" si="321">J517</f>
        <v>1536072</v>
      </c>
      <c r="K516" s="58">
        <f t="shared" si="321"/>
        <v>1536072</v>
      </c>
      <c r="L516" s="58">
        <f t="shared" si="321"/>
        <v>0</v>
      </c>
      <c r="M516" s="58">
        <f t="shared" si="321"/>
        <v>0</v>
      </c>
      <c r="N516" s="58">
        <f t="shared" si="321"/>
        <v>0</v>
      </c>
      <c r="O516" s="58">
        <f t="shared" si="321"/>
        <v>0</v>
      </c>
      <c r="P516" s="58">
        <f t="shared" si="321"/>
        <v>0</v>
      </c>
      <c r="Q516" s="58">
        <f t="shared" si="321"/>
        <v>0</v>
      </c>
    </row>
    <row r="517" spans="1:17" ht="28" customHeight="1" x14ac:dyDescent="0.35">
      <c r="A517" s="234"/>
      <c r="B517" s="235"/>
      <c r="C517" s="69">
        <f>G519+G520</f>
        <v>1536072</v>
      </c>
      <c r="D517" s="60">
        <v>0</v>
      </c>
      <c r="E517" s="60">
        <v>0</v>
      </c>
      <c r="F517" s="61" t="s">
        <v>36</v>
      </c>
      <c r="G517" s="60">
        <f t="shared" si="313"/>
        <v>1536072</v>
      </c>
      <c r="H517" s="60">
        <f t="shared" si="314"/>
        <v>1536072</v>
      </c>
      <c r="I517" s="60">
        <f t="shared" si="314"/>
        <v>0</v>
      </c>
      <c r="J517" s="60">
        <f t="shared" ref="J517:Q517" si="322">J518+J519+J520</f>
        <v>1536072</v>
      </c>
      <c r="K517" s="60">
        <f t="shared" si="322"/>
        <v>1536072</v>
      </c>
      <c r="L517" s="60">
        <f t="shared" si="322"/>
        <v>0</v>
      </c>
      <c r="M517" s="60">
        <f t="shared" si="322"/>
        <v>0</v>
      </c>
      <c r="N517" s="60">
        <f t="shared" si="322"/>
        <v>0</v>
      </c>
      <c r="O517" s="60">
        <f t="shared" si="322"/>
        <v>0</v>
      </c>
      <c r="P517" s="60">
        <f t="shared" si="322"/>
        <v>0</v>
      </c>
      <c r="Q517" s="60">
        <f t="shared" si="322"/>
        <v>0</v>
      </c>
    </row>
    <row r="518" spans="1:17" ht="28" customHeight="1" x14ac:dyDescent="0.35">
      <c r="A518" s="234"/>
      <c r="B518" s="235"/>
      <c r="C518" s="78"/>
      <c r="D518" s="78"/>
      <c r="E518" s="15"/>
      <c r="F518" s="66" t="s">
        <v>37</v>
      </c>
      <c r="G518" s="67">
        <f t="shared" si="313"/>
        <v>0</v>
      </c>
      <c r="H518" s="67">
        <f t="shared" si="314"/>
        <v>0</v>
      </c>
      <c r="I518" s="67">
        <f t="shared" si="314"/>
        <v>0</v>
      </c>
      <c r="J518" s="67">
        <f>K518+L518</f>
        <v>0</v>
      </c>
      <c r="K518" s="67">
        <v>0</v>
      </c>
      <c r="L518" s="67">
        <v>0</v>
      </c>
      <c r="M518" s="67">
        <v>0</v>
      </c>
      <c r="N518" s="67">
        <f>O518+P518</f>
        <v>0</v>
      </c>
      <c r="O518" s="67">
        <v>0</v>
      </c>
      <c r="P518" s="67">
        <v>0</v>
      </c>
      <c r="Q518" s="67">
        <v>0</v>
      </c>
    </row>
    <row r="519" spans="1:17" ht="28" customHeight="1" x14ac:dyDescent="0.35">
      <c r="A519" s="234"/>
      <c r="B519" s="235"/>
      <c r="C519" s="78"/>
      <c r="D519" s="78"/>
      <c r="E519" s="15"/>
      <c r="F519" s="66" t="s">
        <v>38</v>
      </c>
      <c r="G519" s="71">
        <f t="shared" si="313"/>
        <v>0</v>
      </c>
      <c r="H519" s="71">
        <f t="shared" si="314"/>
        <v>0</v>
      </c>
      <c r="I519" s="71">
        <f t="shared" si="314"/>
        <v>0</v>
      </c>
      <c r="J519" s="71">
        <f>K519+L519</f>
        <v>0</v>
      </c>
      <c r="K519" s="71">
        <v>0</v>
      </c>
      <c r="L519" s="71">
        <v>0</v>
      </c>
      <c r="M519" s="71">
        <v>0</v>
      </c>
      <c r="N519" s="71">
        <f>O519+P519</f>
        <v>0</v>
      </c>
      <c r="O519" s="71">
        <v>0</v>
      </c>
      <c r="P519" s="71">
        <v>0</v>
      </c>
      <c r="Q519" s="71">
        <v>0</v>
      </c>
    </row>
    <row r="520" spans="1:17" ht="28" customHeight="1" x14ac:dyDescent="0.35">
      <c r="A520" s="234"/>
      <c r="B520" s="235"/>
      <c r="C520" s="78"/>
      <c r="D520" s="78"/>
      <c r="E520" s="15"/>
      <c r="F520" s="66" t="s">
        <v>39</v>
      </c>
      <c r="G520" s="71">
        <f t="shared" si="313"/>
        <v>1536072</v>
      </c>
      <c r="H520" s="71">
        <f t="shared" si="314"/>
        <v>1536072</v>
      </c>
      <c r="I520" s="71">
        <f t="shared" si="314"/>
        <v>0</v>
      </c>
      <c r="J520" s="71">
        <f>K520+L520</f>
        <v>1536072</v>
      </c>
      <c r="K520" s="71">
        <f>1500000-57648+187457+106992+155337-356066</f>
        <v>1536072</v>
      </c>
      <c r="L520" s="71">
        <v>0</v>
      </c>
      <c r="M520" s="71">
        <v>0</v>
      </c>
      <c r="N520" s="71">
        <f>O520+P520</f>
        <v>0</v>
      </c>
      <c r="O520" s="71">
        <v>0</v>
      </c>
      <c r="P520" s="71">
        <v>0</v>
      </c>
      <c r="Q520" s="71">
        <v>0</v>
      </c>
    </row>
    <row r="521" spans="1:17" ht="28" customHeight="1" x14ac:dyDescent="0.35">
      <c r="A521" s="234" t="s">
        <v>413</v>
      </c>
      <c r="B521" s="235" t="s">
        <v>414</v>
      </c>
      <c r="C521" s="56">
        <f>C522</f>
        <v>47570562</v>
      </c>
      <c r="D521" s="57">
        <f>D522</f>
        <v>0</v>
      </c>
      <c r="E521" s="58">
        <f>E522</f>
        <v>0</v>
      </c>
      <c r="F521" s="59" t="s">
        <v>415</v>
      </c>
      <c r="G521" s="58">
        <f t="shared" si="313"/>
        <v>47570562</v>
      </c>
      <c r="H521" s="58">
        <f t="shared" si="314"/>
        <v>47570562</v>
      </c>
      <c r="I521" s="58">
        <f t="shared" si="314"/>
        <v>0</v>
      </c>
      <c r="J521" s="58">
        <f t="shared" ref="J521:Q521" si="323">J522</f>
        <v>47570562</v>
      </c>
      <c r="K521" s="58">
        <f t="shared" si="323"/>
        <v>47570562</v>
      </c>
      <c r="L521" s="58">
        <f t="shared" si="323"/>
        <v>0</v>
      </c>
      <c r="M521" s="58">
        <f t="shared" si="323"/>
        <v>0</v>
      </c>
      <c r="N521" s="58">
        <f t="shared" si="323"/>
        <v>0</v>
      </c>
      <c r="O521" s="58">
        <f t="shared" si="323"/>
        <v>0</v>
      </c>
      <c r="P521" s="58">
        <f t="shared" si="323"/>
        <v>0</v>
      </c>
      <c r="Q521" s="58">
        <f t="shared" si="323"/>
        <v>0</v>
      </c>
    </row>
    <row r="522" spans="1:17" ht="28" customHeight="1" x14ac:dyDescent="0.35">
      <c r="A522" s="234"/>
      <c r="B522" s="235"/>
      <c r="C522" s="69">
        <f>G524+G525</f>
        <v>47570562</v>
      </c>
      <c r="D522" s="60">
        <v>0</v>
      </c>
      <c r="E522" s="60">
        <v>0</v>
      </c>
      <c r="F522" s="61" t="s">
        <v>36</v>
      </c>
      <c r="G522" s="60">
        <f t="shared" si="313"/>
        <v>47570562</v>
      </c>
      <c r="H522" s="60">
        <f t="shared" si="314"/>
        <v>47570562</v>
      </c>
      <c r="I522" s="60">
        <f t="shared" si="314"/>
        <v>0</v>
      </c>
      <c r="J522" s="60">
        <f t="shared" ref="J522:Q522" si="324">J523+J524+J525</f>
        <v>47570562</v>
      </c>
      <c r="K522" s="60">
        <f t="shared" si="324"/>
        <v>47570562</v>
      </c>
      <c r="L522" s="60">
        <f t="shared" si="324"/>
        <v>0</v>
      </c>
      <c r="M522" s="60">
        <f t="shared" si="324"/>
        <v>0</v>
      </c>
      <c r="N522" s="60">
        <f t="shared" si="324"/>
        <v>0</v>
      </c>
      <c r="O522" s="60">
        <f t="shared" si="324"/>
        <v>0</v>
      </c>
      <c r="P522" s="60">
        <f t="shared" si="324"/>
        <v>0</v>
      </c>
      <c r="Q522" s="60">
        <f t="shared" si="324"/>
        <v>0</v>
      </c>
    </row>
    <row r="523" spans="1:17" ht="28" customHeight="1" x14ac:dyDescent="0.35">
      <c r="A523" s="234"/>
      <c r="B523" s="235"/>
      <c r="C523" s="78"/>
      <c r="D523" s="78"/>
      <c r="E523" s="118"/>
      <c r="F523" s="66" t="s">
        <v>37</v>
      </c>
      <c r="G523" s="67">
        <f t="shared" si="313"/>
        <v>0</v>
      </c>
      <c r="H523" s="67">
        <f t="shared" si="314"/>
        <v>0</v>
      </c>
      <c r="I523" s="67">
        <f t="shared" si="314"/>
        <v>0</v>
      </c>
      <c r="J523" s="67">
        <f>K523+L523</f>
        <v>0</v>
      </c>
      <c r="K523" s="67">
        <v>0</v>
      </c>
      <c r="L523" s="67">
        <v>0</v>
      </c>
      <c r="M523" s="67">
        <v>0</v>
      </c>
      <c r="N523" s="67">
        <f>O523+P523</f>
        <v>0</v>
      </c>
      <c r="O523" s="67">
        <v>0</v>
      </c>
      <c r="P523" s="67">
        <v>0</v>
      </c>
      <c r="Q523" s="67">
        <v>0</v>
      </c>
    </row>
    <row r="524" spans="1:17" ht="28" customHeight="1" x14ac:dyDescent="0.35">
      <c r="A524" s="234"/>
      <c r="B524" s="235"/>
      <c r="C524" s="78"/>
      <c r="D524" s="78"/>
      <c r="E524" s="118"/>
      <c r="F524" s="66" t="s">
        <v>38</v>
      </c>
      <c r="G524" s="71">
        <f t="shared" si="313"/>
        <v>0</v>
      </c>
      <c r="H524" s="71">
        <f t="shared" si="314"/>
        <v>0</v>
      </c>
      <c r="I524" s="71">
        <f t="shared" si="314"/>
        <v>0</v>
      </c>
      <c r="J524" s="71">
        <f>K524+L524</f>
        <v>0</v>
      </c>
      <c r="K524" s="71">
        <v>0</v>
      </c>
      <c r="L524" s="71">
        <v>0</v>
      </c>
      <c r="M524" s="71">
        <v>0</v>
      </c>
      <c r="N524" s="71">
        <f>O524+P524</f>
        <v>0</v>
      </c>
      <c r="O524" s="71">
        <v>0</v>
      </c>
      <c r="P524" s="71">
        <v>0</v>
      </c>
      <c r="Q524" s="71">
        <v>0</v>
      </c>
    </row>
    <row r="525" spans="1:17" ht="28" customHeight="1" x14ac:dyDescent="0.35">
      <c r="A525" s="234"/>
      <c r="B525" s="235"/>
      <c r="C525" s="78"/>
      <c r="D525" s="78"/>
      <c r="E525" s="118"/>
      <c r="F525" s="66" t="s">
        <v>39</v>
      </c>
      <c r="G525" s="71">
        <f t="shared" si="313"/>
        <v>47570562</v>
      </c>
      <c r="H525" s="71">
        <f t="shared" si="314"/>
        <v>47570562</v>
      </c>
      <c r="I525" s="71">
        <f t="shared" si="314"/>
        <v>0</v>
      </c>
      <c r="J525" s="71">
        <f>K525+L525</f>
        <v>47570562</v>
      </c>
      <c r="K525" s="71">
        <f>22799276-728606+185063+3000000+410499+44360+294585+3500000+237709+230866+1000000+216990+214017+358941+155370+153643+651477-1883276+1126817-2762772+18365603</f>
        <v>47570562</v>
      </c>
      <c r="L525" s="71">
        <v>0</v>
      </c>
      <c r="M525" s="71">
        <v>0</v>
      </c>
      <c r="N525" s="71">
        <f>O525+P525</f>
        <v>0</v>
      </c>
      <c r="O525" s="71">
        <v>0</v>
      </c>
      <c r="P525" s="71">
        <v>0</v>
      </c>
      <c r="Q525" s="71">
        <v>0</v>
      </c>
    </row>
    <row r="526" spans="1:17" ht="28" customHeight="1" x14ac:dyDescent="0.35">
      <c r="A526" s="234" t="s">
        <v>416</v>
      </c>
      <c r="B526" s="235" t="s">
        <v>417</v>
      </c>
      <c r="C526" s="56">
        <f>C527</f>
        <v>87196699</v>
      </c>
      <c r="D526" s="57">
        <f>D527</f>
        <v>0</v>
      </c>
      <c r="E526" s="58">
        <f>E527</f>
        <v>0</v>
      </c>
      <c r="F526" s="59" t="s">
        <v>418</v>
      </c>
      <c r="G526" s="58">
        <f t="shared" si="313"/>
        <v>87196699</v>
      </c>
      <c r="H526" s="58">
        <f t="shared" ref="H526:I541" si="325">K526+O526</f>
        <v>86425063</v>
      </c>
      <c r="I526" s="58">
        <f t="shared" si="325"/>
        <v>771636</v>
      </c>
      <c r="J526" s="58">
        <f>J527</f>
        <v>87196699</v>
      </c>
      <c r="K526" s="58">
        <f t="shared" ref="K526:Q526" si="326">K527</f>
        <v>86425063</v>
      </c>
      <c r="L526" s="58">
        <f t="shared" si="326"/>
        <v>771636</v>
      </c>
      <c r="M526" s="58">
        <f t="shared" si="326"/>
        <v>0</v>
      </c>
      <c r="N526" s="58">
        <f t="shared" si="326"/>
        <v>0</v>
      </c>
      <c r="O526" s="58">
        <f t="shared" si="326"/>
        <v>0</v>
      </c>
      <c r="P526" s="58">
        <f t="shared" si="326"/>
        <v>0</v>
      </c>
      <c r="Q526" s="58">
        <f t="shared" si="326"/>
        <v>0</v>
      </c>
    </row>
    <row r="527" spans="1:17" ht="28" customHeight="1" x14ac:dyDescent="0.35">
      <c r="A527" s="234"/>
      <c r="B527" s="235"/>
      <c r="C527" s="69">
        <f>G529+G530</f>
        <v>87196699</v>
      </c>
      <c r="D527" s="60">
        <v>0</v>
      </c>
      <c r="E527" s="60">
        <v>0</v>
      </c>
      <c r="F527" s="61" t="s">
        <v>36</v>
      </c>
      <c r="G527" s="60">
        <f t="shared" si="313"/>
        <v>87196699</v>
      </c>
      <c r="H527" s="60">
        <f t="shared" si="325"/>
        <v>86425063</v>
      </c>
      <c r="I527" s="60">
        <f t="shared" si="325"/>
        <v>771636</v>
      </c>
      <c r="J527" s="60">
        <f>J528+J529+J530</f>
        <v>87196699</v>
      </c>
      <c r="K527" s="60">
        <f t="shared" ref="K527:Q527" si="327">K528+K529+K530</f>
        <v>86425063</v>
      </c>
      <c r="L527" s="60">
        <f t="shared" si="327"/>
        <v>771636</v>
      </c>
      <c r="M527" s="60">
        <f t="shared" si="327"/>
        <v>0</v>
      </c>
      <c r="N527" s="60">
        <f t="shared" si="327"/>
        <v>0</v>
      </c>
      <c r="O527" s="60">
        <f t="shared" si="327"/>
        <v>0</v>
      </c>
      <c r="P527" s="60">
        <f t="shared" si="327"/>
        <v>0</v>
      </c>
      <c r="Q527" s="60">
        <f t="shared" si="327"/>
        <v>0</v>
      </c>
    </row>
    <row r="528" spans="1:17" ht="28" customHeight="1" x14ac:dyDescent="0.35">
      <c r="A528" s="234"/>
      <c r="B528" s="235"/>
      <c r="C528" s="78"/>
      <c r="D528" s="119"/>
      <c r="E528" s="120"/>
      <c r="F528" s="66" t="s">
        <v>37</v>
      </c>
      <c r="G528" s="67">
        <f t="shared" si="313"/>
        <v>0</v>
      </c>
      <c r="H528" s="67">
        <f t="shared" si="325"/>
        <v>0</v>
      </c>
      <c r="I528" s="67">
        <f t="shared" si="325"/>
        <v>0</v>
      </c>
      <c r="J528" s="67">
        <f>K528+L528</f>
        <v>0</v>
      </c>
      <c r="K528" s="67">
        <v>0</v>
      </c>
      <c r="L528" s="67">
        <v>0</v>
      </c>
      <c r="M528" s="67">
        <v>0</v>
      </c>
      <c r="N528" s="67">
        <f>O528+P528</f>
        <v>0</v>
      </c>
      <c r="O528" s="67">
        <v>0</v>
      </c>
      <c r="P528" s="67">
        <v>0</v>
      </c>
      <c r="Q528" s="67">
        <v>0</v>
      </c>
    </row>
    <row r="529" spans="1:17" ht="28" customHeight="1" x14ac:dyDescent="0.35">
      <c r="A529" s="234"/>
      <c r="B529" s="235"/>
      <c r="C529" s="79"/>
      <c r="D529" s="119"/>
      <c r="E529" s="120"/>
      <c r="F529" s="66" t="s">
        <v>38</v>
      </c>
      <c r="G529" s="71">
        <f t="shared" si="313"/>
        <v>0</v>
      </c>
      <c r="H529" s="71">
        <f t="shared" si="325"/>
        <v>0</v>
      </c>
      <c r="I529" s="71">
        <f t="shared" si="325"/>
        <v>0</v>
      </c>
      <c r="J529" s="71">
        <f>K529+L529</f>
        <v>0</v>
      </c>
      <c r="K529" s="71">
        <v>0</v>
      </c>
      <c r="L529" s="71">
        <v>0</v>
      </c>
      <c r="M529" s="71">
        <v>0</v>
      </c>
      <c r="N529" s="71">
        <f>O529+P529</f>
        <v>0</v>
      </c>
      <c r="O529" s="71">
        <v>0</v>
      </c>
      <c r="P529" s="71">
        <v>0</v>
      </c>
      <c r="Q529" s="71">
        <v>0</v>
      </c>
    </row>
    <row r="530" spans="1:17" ht="28" customHeight="1" x14ac:dyDescent="0.35">
      <c r="A530" s="234"/>
      <c r="B530" s="235"/>
      <c r="C530" s="79"/>
      <c r="D530" s="119"/>
      <c r="E530" s="120"/>
      <c r="F530" s="66" t="s">
        <v>39</v>
      </c>
      <c r="G530" s="71">
        <f t="shared" si="313"/>
        <v>87196699</v>
      </c>
      <c r="H530" s="71">
        <f t="shared" si="325"/>
        <v>86425063</v>
      </c>
      <c r="I530" s="71">
        <f t="shared" si="325"/>
        <v>771636</v>
      </c>
      <c r="J530" s="71">
        <f>K530+L530</f>
        <v>87196699</v>
      </c>
      <c r="K530" s="71">
        <f>97222669-1349058-100000-3000000-2000000-973080-294585-3500000-900000-1000000+421391+416081+728606+332545+7784251-2000000-5363757</f>
        <v>86425063</v>
      </c>
      <c r="L530" s="71">
        <v>771636</v>
      </c>
      <c r="M530" s="71">
        <v>0</v>
      </c>
      <c r="N530" s="71">
        <f>O530+P530</f>
        <v>0</v>
      </c>
      <c r="O530" s="71">
        <v>0</v>
      </c>
      <c r="P530" s="71">
        <v>0</v>
      </c>
      <c r="Q530" s="71">
        <v>0</v>
      </c>
    </row>
    <row r="531" spans="1:17" ht="27.75" customHeight="1" x14ac:dyDescent="0.35">
      <c r="A531" s="234" t="s">
        <v>419</v>
      </c>
      <c r="B531" s="235" t="s">
        <v>420</v>
      </c>
      <c r="C531" s="56">
        <f>C532</f>
        <v>36300000</v>
      </c>
      <c r="D531" s="57">
        <f>D532</f>
        <v>0</v>
      </c>
      <c r="E531" s="58">
        <f>E532</f>
        <v>0</v>
      </c>
      <c r="F531" s="59" t="s">
        <v>421</v>
      </c>
      <c r="G531" s="58">
        <f t="shared" si="313"/>
        <v>36300000</v>
      </c>
      <c r="H531" s="58">
        <f t="shared" si="325"/>
        <v>36300000</v>
      </c>
      <c r="I531" s="58">
        <f t="shared" si="325"/>
        <v>0</v>
      </c>
      <c r="J531" s="58">
        <f>J532</f>
        <v>36300000</v>
      </c>
      <c r="K531" s="58">
        <f t="shared" ref="K531:Q531" si="328">K532</f>
        <v>36300000</v>
      </c>
      <c r="L531" s="58">
        <f t="shared" si="328"/>
        <v>0</v>
      </c>
      <c r="M531" s="58">
        <f t="shared" si="328"/>
        <v>0</v>
      </c>
      <c r="N531" s="58">
        <f t="shared" si="328"/>
        <v>0</v>
      </c>
      <c r="O531" s="58">
        <f t="shared" si="328"/>
        <v>0</v>
      </c>
      <c r="P531" s="58">
        <f t="shared" si="328"/>
        <v>0</v>
      </c>
      <c r="Q531" s="58">
        <f t="shared" si="328"/>
        <v>0</v>
      </c>
    </row>
    <row r="532" spans="1:17" ht="28" customHeight="1" x14ac:dyDescent="0.35">
      <c r="A532" s="234"/>
      <c r="B532" s="235"/>
      <c r="C532" s="69">
        <f>(J532-E532)*100%</f>
        <v>36300000</v>
      </c>
      <c r="D532" s="60">
        <v>0</v>
      </c>
      <c r="E532" s="60">
        <v>0</v>
      </c>
      <c r="F532" s="61" t="s">
        <v>36</v>
      </c>
      <c r="G532" s="60">
        <f t="shared" si="313"/>
        <v>36300000</v>
      </c>
      <c r="H532" s="60">
        <f t="shared" si="325"/>
        <v>36300000</v>
      </c>
      <c r="I532" s="60">
        <f t="shared" si="325"/>
        <v>0</v>
      </c>
      <c r="J532" s="60">
        <f>J533+J534+J535</f>
        <v>36300000</v>
      </c>
      <c r="K532" s="60">
        <f t="shared" ref="K532:Q532" si="329">K533+K534+K535</f>
        <v>36300000</v>
      </c>
      <c r="L532" s="60">
        <f t="shared" si="329"/>
        <v>0</v>
      </c>
      <c r="M532" s="60">
        <f t="shared" si="329"/>
        <v>0</v>
      </c>
      <c r="N532" s="60">
        <f t="shared" si="329"/>
        <v>0</v>
      </c>
      <c r="O532" s="60">
        <f t="shared" si="329"/>
        <v>0</v>
      </c>
      <c r="P532" s="60">
        <f t="shared" si="329"/>
        <v>0</v>
      </c>
      <c r="Q532" s="60">
        <f t="shared" si="329"/>
        <v>0</v>
      </c>
    </row>
    <row r="533" spans="1:17" ht="28" customHeight="1" x14ac:dyDescent="0.35">
      <c r="A533" s="234"/>
      <c r="B533" s="235"/>
      <c r="C533" s="78"/>
      <c r="D533" s="15"/>
      <c r="E533" s="15"/>
      <c r="F533" s="66" t="s">
        <v>37</v>
      </c>
      <c r="G533" s="67">
        <f t="shared" si="313"/>
        <v>0</v>
      </c>
      <c r="H533" s="67">
        <f t="shared" si="325"/>
        <v>0</v>
      </c>
      <c r="I533" s="67">
        <f t="shared" si="325"/>
        <v>0</v>
      </c>
      <c r="J533" s="67">
        <f>K533+L533</f>
        <v>0</v>
      </c>
      <c r="K533" s="67">
        <v>0</v>
      </c>
      <c r="L533" s="67">
        <v>0</v>
      </c>
      <c r="M533" s="67">
        <v>0</v>
      </c>
      <c r="N533" s="67">
        <f>O533+P533</f>
        <v>0</v>
      </c>
      <c r="O533" s="67">
        <v>0</v>
      </c>
      <c r="P533" s="67">
        <v>0</v>
      </c>
      <c r="Q533" s="67">
        <v>0</v>
      </c>
    </row>
    <row r="534" spans="1:17" ht="28" customHeight="1" x14ac:dyDescent="0.35">
      <c r="A534" s="234"/>
      <c r="B534" s="235"/>
      <c r="C534" s="78"/>
      <c r="D534" s="15"/>
      <c r="E534" s="15"/>
      <c r="F534" s="66" t="s">
        <v>38</v>
      </c>
      <c r="G534" s="71">
        <f t="shared" si="313"/>
        <v>0</v>
      </c>
      <c r="H534" s="71">
        <f t="shared" si="325"/>
        <v>0</v>
      </c>
      <c r="I534" s="71">
        <f t="shared" si="325"/>
        <v>0</v>
      </c>
      <c r="J534" s="71">
        <f>K534+L534</f>
        <v>0</v>
      </c>
      <c r="K534" s="71">
        <v>0</v>
      </c>
      <c r="L534" s="71">
        <v>0</v>
      </c>
      <c r="M534" s="71">
        <v>0</v>
      </c>
      <c r="N534" s="71">
        <f>O534+P534</f>
        <v>0</v>
      </c>
      <c r="O534" s="71">
        <v>0</v>
      </c>
      <c r="P534" s="71">
        <v>0</v>
      </c>
      <c r="Q534" s="71">
        <v>0</v>
      </c>
    </row>
    <row r="535" spans="1:17" ht="28" customHeight="1" x14ac:dyDescent="0.35">
      <c r="A535" s="234"/>
      <c r="B535" s="235"/>
      <c r="C535" s="78"/>
      <c r="D535" s="15"/>
      <c r="E535" s="15"/>
      <c r="F535" s="66" t="s">
        <v>39</v>
      </c>
      <c r="G535" s="71">
        <f t="shared" si="313"/>
        <v>36300000</v>
      </c>
      <c r="H535" s="71">
        <f t="shared" si="325"/>
        <v>36300000</v>
      </c>
      <c r="I535" s="71">
        <f t="shared" si="325"/>
        <v>0</v>
      </c>
      <c r="J535" s="71">
        <f>K535+L535</f>
        <v>36300000</v>
      </c>
      <c r="K535" s="71">
        <f>34300000+2000000</f>
        <v>36300000</v>
      </c>
      <c r="L535" s="71">
        <v>0</v>
      </c>
      <c r="M535" s="71">
        <v>0</v>
      </c>
      <c r="N535" s="71">
        <f>O535+P535</f>
        <v>0</v>
      </c>
      <c r="O535" s="71">
        <v>0</v>
      </c>
      <c r="P535" s="71">
        <v>0</v>
      </c>
      <c r="Q535" s="71">
        <v>0</v>
      </c>
    </row>
    <row r="536" spans="1:17" ht="104" x14ac:dyDescent="0.35">
      <c r="A536" s="87" t="s">
        <v>422</v>
      </c>
      <c r="B536" s="88" t="s">
        <v>423</v>
      </c>
      <c r="C536" s="52">
        <f>C537+C542+C547+C552+C557</f>
        <v>206449328</v>
      </c>
      <c r="D536" s="52">
        <f>D537+D542+D547+D552+D557</f>
        <v>0</v>
      </c>
      <c r="E536" s="52">
        <f>E537+E542+E547+E552+E557</f>
        <v>0</v>
      </c>
      <c r="F536" s="54" t="s">
        <v>424</v>
      </c>
      <c r="G536" s="52">
        <f t="shared" si="313"/>
        <v>206449328</v>
      </c>
      <c r="H536" s="52">
        <f t="shared" si="325"/>
        <v>206199328</v>
      </c>
      <c r="I536" s="52">
        <f t="shared" si="325"/>
        <v>250000</v>
      </c>
      <c r="J536" s="52">
        <f>J537+J542+J547+J552+J557</f>
        <v>206449328</v>
      </c>
      <c r="K536" s="52">
        <f t="shared" ref="K536:Q536" si="330">K537+K542+K547+K552+K557</f>
        <v>206199328</v>
      </c>
      <c r="L536" s="52">
        <f t="shared" si="330"/>
        <v>250000</v>
      </c>
      <c r="M536" s="52">
        <f t="shared" si="330"/>
        <v>0</v>
      </c>
      <c r="N536" s="52">
        <f t="shared" si="330"/>
        <v>0</v>
      </c>
      <c r="O536" s="52">
        <f t="shared" si="330"/>
        <v>0</v>
      </c>
      <c r="P536" s="52">
        <f t="shared" si="330"/>
        <v>0</v>
      </c>
      <c r="Q536" s="52">
        <f t="shared" si="330"/>
        <v>0</v>
      </c>
    </row>
    <row r="537" spans="1:17" ht="29.15" customHeight="1" x14ac:dyDescent="0.35">
      <c r="A537" s="234" t="s">
        <v>425</v>
      </c>
      <c r="B537" s="235" t="s">
        <v>405</v>
      </c>
      <c r="C537" s="56">
        <f>C538</f>
        <v>5745443</v>
      </c>
      <c r="D537" s="57">
        <f>D538</f>
        <v>0</v>
      </c>
      <c r="E537" s="58">
        <f>E538</f>
        <v>0</v>
      </c>
      <c r="F537" s="59" t="s">
        <v>426</v>
      </c>
      <c r="G537" s="58">
        <f t="shared" si="313"/>
        <v>5745443</v>
      </c>
      <c r="H537" s="58">
        <f t="shared" si="325"/>
        <v>5495443</v>
      </c>
      <c r="I537" s="58">
        <f t="shared" si="325"/>
        <v>250000</v>
      </c>
      <c r="J537" s="58">
        <f>J538</f>
        <v>5745443</v>
      </c>
      <c r="K537" s="58">
        <f t="shared" ref="K537:Q537" si="331">K538</f>
        <v>5495443</v>
      </c>
      <c r="L537" s="58">
        <f t="shared" si="331"/>
        <v>250000</v>
      </c>
      <c r="M537" s="58">
        <f t="shared" si="331"/>
        <v>0</v>
      </c>
      <c r="N537" s="58">
        <f t="shared" si="331"/>
        <v>0</v>
      </c>
      <c r="O537" s="58">
        <f t="shared" si="331"/>
        <v>0</v>
      </c>
      <c r="P537" s="58">
        <f t="shared" si="331"/>
        <v>0</v>
      </c>
      <c r="Q537" s="58">
        <f t="shared" si="331"/>
        <v>0</v>
      </c>
    </row>
    <row r="538" spans="1:17" ht="28" customHeight="1" x14ac:dyDescent="0.35">
      <c r="A538" s="234"/>
      <c r="B538" s="235"/>
      <c r="C538" s="69">
        <f>G540+G541</f>
        <v>5745443</v>
      </c>
      <c r="D538" s="60">
        <v>0</v>
      </c>
      <c r="E538" s="60">
        <v>0</v>
      </c>
      <c r="F538" s="61" t="s">
        <v>36</v>
      </c>
      <c r="G538" s="60">
        <f t="shared" si="313"/>
        <v>5745443</v>
      </c>
      <c r="H538" s="60">
        <f t="shared" si="325"/>
        <v>5495443</v>
      </c>
      <c r="I538" s="60">
        <f t="shared" si="325"/>
        <v>250000</v>
      </c>
      <c r="J538" s="60">
        <f>J539+J540+J541</f>
        <v>5745443</v>
      </c>
      <c r="K538" s="60">
        <f t="shared" ref="K538:Q538" si="332">K539+K540+K541</f>
        <v>5495443</v>
      </c>
      <c r="L538" s="60">
        <f t="shared" si="332"/>
        <v>250000</v>
      </c>
      <c r="M538" s="60">
        <f t="shared" si="332"/>
        <v>0</v>
      </c>
      <c r="N538" s="60">
        <f t="shared" si="332"/>
        <v>0</v>
      </c>
      <c r="O538" s="60">
        <f t="shared" si="332"/>
        <v>0</v>
      </c>
      <c r="P538" s="60">
        <f t="shared" si="332"/>
        <v>0</v>
      </c>
      <c r="Q538" s="60">
        <f t="shared" si="332"/>
        <v>0</v>
      </c>
    </row>
    <row r="539" spans="1:17" ht="28" customHeight="1" x14ac:dyDescent="0.35">
      <c r="A539" s="234"/>
      <c r="B539" s="235"/>
      <c r="C539" s="78"/>
      <c r="D539" s="78"/>
      <c r="E539" s="15"/>
      <c r="F539" s="66" t="s">
        <v>37</v>
      </c>
      <c r="G539" s="67">
        <f t="shared" si="313"/>
        <v>0</v>
      </c>
      <c r="H539" s="67">
        <f t="shared" si="325"/>
        <v>0</v>
      </c>
      <c r="I539" s="67">
        <f t="shared" si="325"/>
        <v>0</v>
      </c>
      <c r="J539" s="67">
        <f>K539+L539</f>
        <v>0</v>
      </c>
      <c r="K539" s="67">
        <v>0</v>
      </c>
      <c r="L539" s="67">
        <v>0</v>
      </c>
      <c r="M539" s="67">
        <v>0</v>
      </c>
      <c r="N539" s="67">
        <f>O539+P539</f>
        <v>0</v>
      </c>
      <c r="O539" s="67">
        <v>0</v>
      </c>
      <c r="P539" s="67">
        <v>0</v>
      </c>
      <c r="Q539" s="67">
        <v>0</v>
      </c>
    </row>
    <row r="540" spans="1:17" ht="28" customHeight="1" x14ac:dyDescent="0.35">
      <c r="A540" s="234"/>
      <c r="B540" s="235"/>
      <c r="C540" s="78"/>
      <c r="D540" s="78"/>
      <c r="E540" s="15"/>
      <c r="F540" s="66" t="s">
        <v>38</v>
      </c>
      <c r="G540" s="71">
        <f t="shared" si="313"/>
        <v>5745443</v>
      </c>
      <c r="H540" s="71">
        <f t="shared" si="325"/>
        <v>5495443</v>
      </c>
      <c r="I540" s="71">
        <f t="shared" si="325"/>
        <v>250000</v>
      </c>
      <c r="J540" s="71">
        <f>K540+L540</f>
        <v>5745443</v>
      </c>
      <c r="K540" s="71">
        <f>13100000-1283334-946507-2501722-2872994</f>
        <v>5495443</v>
      </c>
      <c r="L540" s="71">
        <f>500000-250000</f>
        <v>250000</v>
      </c>
      <c r="M540" s="71">
        <v>0</v>
      </c>
      <c r="N540" s="71">
        <f>O540+P540</f>
        <v>0</v>
      </c>
      <c r="O540" s="71">
        <v>0</v>
      </c>
      <c r="P540" s="71">
        <v>0</v>
      </c>
      <c r="Q540" s="71">
        <v>0</v>
      </c>
    </row>
    <row r="541" spans="1:17" ht="28" customHeight="1" x14ac:dyDescent="0.35">
      <c r="A541" s="234"/>
      <c r="B541" s="235"/>
      <c r="C541" s="78"/>
      <c r="D541" s="78"/>
      <c r="E541" s="15"/>
      <c r="F541" s="66" t="s">
        <v>39</v>
      </c>
      <c r="G541" s="71">
        <f t="shared" si="313"/>
        <v>0</v>
      </c>
      <c r="H541" s="71">
        <f t="shared" si="325"/>
        <v>0</v>
      </c>
      <c r="I541" s="71">
        <f t="shared" si="325"/>
        <v>0</v>
      </c>
      <c r="J541" s="71">
        <f>K541+L541</f>
        <v>0</v>
      </c>
      <c r="K541" s="71">
        <v>0</v>
      </c>
      <c r="L541" s="71">
        <v>0</v>
      </c>
      <c r="M541" s="71">
        <v>0</v>
      </c>
      <c r="N541" s="71">
        <f>O541+P541</f>
        <v>0</v>
      </c>
      <c r="O541" s="71">
        <v>0</v>
      </c>
      <c r="P541" s="71">
        <v>0</v>
      </c>
      <c r="Q541" s="71">
        <v>0</v>
      </c>
    </row>
    <row r="542" spans="1:17" ht="96" customHeight="1" x14ac:dyDescent="0.35">
      <c r="A542" s="234" t="s">
        <v>427</v>
      </c>
      <c r="B542" s="235" t="s">
        <v>408</v>
      </c>
      <c r="C542" s="56">
        <f>C543</f>
        <v>1890851</v>
      </c>
      <c r="D542" s="57">
        <f>D543</f>
        <v>0</v>
      </c>
      <c r="E542" s="58">
        <f>E543</f>
        <v>0</v>
      </c>
      <c r="F542" s="59" t="s">
        <v>428</v>
      </c>
      <c r="G542" s="58">
        <f t="shared" si="313"/>
        <v>1890851</v>
      </c>
      <c r="H542" s="58">
        <f t="shared" ref="H542:I574" si="333">K542+O542</f>
        <v>1890851</v>
      </c>
      <c r="I542" s="58">
        <f t="shared" si="333"/>
        <v>0</v>
      </c>
      <c r="J542" s="58">
        <f>J543</f>
        <v>1890851</v>
      </c>
      <c r="K542" s="58">
        <f t="shared" ref="K542:Q542" si="334">K543</f>
        <v>1890851</v>
      </c>
      <c r="L542" s="58">
        <f t="shared" si="334"/>
        <v>0</v>
      </c>
      <c r="M542" s="58">
        <f t="shared" si="334"/>
        <v>0</v>
      </c>
      <c r="N542" s="58">
        <f t="shared" si="334"/>
        <v>0</v>
      </c>
      <c r="O542" s="58">
        <f t="shared" si="334"/>
        <v>0</v>
      </c>
      <c r="P542" s="58">
        <f t="shared" si="334"/>
        <v>0</v>
      </c>
      <c r="Q542" s="58">
        <f t="shared" si="334"/>
        <v>0</v>
      </c>
    </row>
    <row r="543" spans="1:17" ht="28" customHeight="1" x14ac:dyDescent="0.35">
      <c r="A543" s="234"/>
      <c r="B543" s="235"/>
      <c r="C543" s="69">
        <f>G545+G546</f>
        <v>1890851</v>
      </c>
      <c r="D543" s="60">
        <v>0</v>
      </c>
      <c r="E543" s="60">
        <v>0</v>
      </c>
      <c r="F543" s="61" t="s">
        <v>36</v>
      </c>
      <c r="G543" s="60">
        <f t="shared" si="313"/>
        <v>1890851</v>
      </c>
      <c r="H543" s="60">
        <f t="shared" si="333"/>
        <v>1890851</v>
      </c>
      <c r="I543" s="60">
        <f t="shared" si="333"/>
        <v>0</v>
      </c>
      <c r="J543" s="60">
        <f>J544+J545+J546</f>
        <v>1890851</v>
      </c>
      <c r="K543" s="60">
        <f t="shared" ref="K543:Q543" si="335">K544+K545+K546</f>
        <v>1890851</v>
      </c>
      <c r="L543" s="60">
        <f t="shared" si="335"/>
        <v>0</v>
      </c>
      <c r="M543" s="60">
        <f t="shared" si="335"/>
        <v>0</v>
      </c>
      <c r="N543" s="60">
        <f t="shared" si="335"/>
        <v>0</v>
      </c>
      <c r="O543" s="60">
        <f t="shared" si="335"/>
        <v>0</v>
      </c>
      <c r="P543" s="60">
        <f t="shared" si="335"/>
        <v>0</v>
      </c>
      <c r="Q543" s="60">
        <f t="shared" si="335"/>
        <v>0</v>
      </c>
    </row>
    <row r="544" spans="1:17" ht="28" customHeight="1" x14ac:dyDescent="0.35">
      <c r="A544" s="234"/>
      <c r="B544" s="235"/>
      <c r="C544" s="78"/>
      <c r="D544" s="78"/>
      <c r="E544" s="15"/>
      <c r="F544" s="66" t="s">
        <v>37</v>
      </c>
      <c r="G544" s="67">
        <f t="shared" si="313"/>
        <v>0</v>
      </c>
      <c r="H544" s="67">
        <f t="shared" si="333"/>
        <v>0</v>
      </c>
      <c r="I544" s="67">
        <f t="shared" si="333"/>
        <v>0</v>
      </c>
      <c r="J544" s="67">
        <f>K544+L544</f>
        <v>0</v>
      </c>
      <c r="K544" s="67">
        <v>0</v>
      </c>
      <c r="L544" s="67">
        <v>0</v>
      </c>
      <c r="M544" s="67">
        <v>0</v>
      </c>
      <c r="N544" s="67">
        <f>O544+P544</f>
        <v>0</v>
      </c>
      <c r="O544" s="67">
        <v>0</v>
      </c>
      <c r="P544" s="67">
        <v>0</v>
      </c>
      <c r="Q544" s="67">
        <v>0</v>
      </c>
    </row>
    <row r="545" spans="1:17" ht="28" customHeight="1" x14ac:dyDescent="0.35">
      <c r="A545" s="234"/>
      <c r="B545" s="235"/>
      <c r="C545" s="78"/>
      <c r="D545" s="78"/>
      <c r="E545" s="15"/>
      <c r="F545" s="66" t="s">
        <v>38</v>
      </c>
      <c r="G545" s="71">
        <f t="shared" si="313"/>
        <v>1890851</v>
      </c>
      <c r="H545" s="71">
        <f t="shared" si="333"/>
        <v>1890851</v>
      </c>
      <c r="I545" s="71">
        <f t="shared" si="333"/>
        <v>0</v>
      </c>
      <c r="J545" s="71">
        <f>K545+L545</f>
        <v>1890851</v>
      </c>
      <c r="K545" s="71">
        <f>12500000-1224823-425167-1000000-2504101-621333-220671-103456-1338481-660000-2511117</f>
        <v>1890851</v>
      </c>
      <c r="L545" s="71">
        <f>500000-500000</f>
        <v>0</v>
      </c>
      <c r="M545" s="71">
        <v>0</v>
      </c>
      <c r="N545" s="71">
        <f>O545+P545</f>
        <v>0</v>
      </c>
      <c r="O545" s="71">
        <v>0</v>
      </c>
      <c r="P545" s="71">
        <v>0</v>
      </c>
      <c r="Q545" s="71">
        <v>0</v>
      </c>
    </row>
    <row r="546" spans="1:17" ht="28" customHeight="1" x14ac:dyDescent="0.35">
      <c r="A546" s="234"/>
      <c r="B546" s="235"/>
      <c r="C546" s="78"/>
      <c r="D546" s="78"/>
      <c r="E546" s="15"/>
      <c r="F546" s="66" t="s">
        <v>39</v>
      </c>
      <c r="G546" s="71">
        <f t="shared" si="313"/>
        <v>0</v>
      </c>
      <c r="H546" s="71">
        <f t="shared" si="333"/>
        <v>0</v>
      </c>
      <c r="I546" s="71">
        <f t="shared" si="333"/>
        <v>0</v>
      </c>
      <c r="J546" s="71">
        <f>K546+L546</f>
        <v>0</v>
      </c>
      <c r="K546" s="71">
        <v>0</v>
      </c>
      <c r="L546" s="71">
        <v>0</v>
      </c>
      <c r="M546" s="71">
        <v>0</v>
      </c>
      <c r="N546" s="71">
        <f>O546+P546</f>
        <v>0</v>
      </c>
      <c r="O546" s="71">
        <v>0</v>
      </c>
      <c r="P546" s="71">
        <v>0</v>
      </c>
      <c r="Q546" s="71">
        <v>0</v>
      </c>
    </row>
    <row r="547" spans="1:17" ht="28" customHeight="1" x14ac:dyDescent="0.35">
      <c r="A547" s="234" t="s">
        <v>429</v>
      </c>
      <c r="B547" s="235" t="s">
        <v>411</v>
      </c>
      <c r="C547" s="56">
        <f>C548</f>
        <v>962870</v>
      </c>
      <c r="D547" s="57">
        <f>D548</f>
        <v>0</v>
      </c>
      <c r="E547" s="58">
        <f>E548</f>
        <v>0</v>
      </c>
      <c r="F547" s="59" t="s">
        <v>430</v>
      </c>
      <c r="G547" s="58">
        <f t="shared" si="313"/>
        <v>962870</v>
      </c>
      <c r="H547" s="58">
        <f t="shared" si="333"/>
        <v>962870</v>
      </c>
      <c r="I547" s="58">
        <f t="shared" si="333"/>
        <v>0</v>
      </c>
      <c r="J547" s="58">
        <f>J548</f>
        <v>962870</v>
      </c>
      <c r="K547" s="58">
        <f t="shared" ref="K547:Q547" si="336">K548</f>
        <v>962870</v>
      </c>
      <c r="L547" s="58">
        <f t="shared" si="336"/>
        <v>0</v>
      </c>
      <c r="M547" s="58">
        <f t="shared" si="336"/>
        <v>0</v>
      </c>
      <c r="N547" s="58">
        <f t="shared" si="336"/>
        <v>0</v>
      </c>
      <c r="O547" s="58">
        <f t="shared" si="336"/>
        <v>0</v>
      </c>
      <c r="P547" s="58">
        <f t="shared" si="336"/>
        <v>0</v>
      </c>
      <c r="Q547" s="58">
        <f t="shared" si="336"/>
        <v>0</v>
      </c>
    </row>
    <row r="548" spans="1:17" ht="28" customHeight="1" x14ac:dyDescent="0.35">
      <c r="A548" s="234"/>
      <c r="B548" s="235"/>
      <c r="C548" s="69">
        <f>G550+G551</f>
        <v>962870</v>
      </c>
      <c r="D548" s="60">
        <v>0</v>
      </c>
      <c r="E548" s="60">
        <v>0</v>
      </c>
      <c r="F548" s="61" t="s">
        <v>36</v>
      </c>
      <c r="G548" s="60">
        <f t="shared" si="313"/>
        <v>962870</v>
      </c>
      <c r="H548" s="60">
        <f t="shared" si="333"/>
        <v>962870</v>
      </c>
      <c r="I548" s="60">
        <f t="shared" si="333"/>
        <v>0</v>
      </c>
      <c r="J548" s="60">
        <f>J549+J550+J551</f>
        <v>962870</v>
      </c>
      <c r="K548" s="60">
        <f t="shared" ref="K548:Q548" si="337">K549+K550+K551</f>
        <v>962870</v>
      </c>
      <c r="L548" s="60">
        <f t="shared" si="337"/>
        <v>0</v>
      </c>
      <c r="M548" s="60">
        <f t="shared" si="337"/>
        <v>0</v>
      </c>
      <c r="N548" s="60">
        <f t="shared" si="337"/>
        <v>0</v>
      </c>
      <c r="O548" s="60">
        <f t="shared" si="337"/>
        <v>0</v>
      </c>
      <c r="P548" s="60">
        <f t="shared" si="337"/>
        <v>0</v>
      </c>
      <c r="Q548" s="60">
        <f t="shared" si="337"/>
        <v>0</v>
      </c>
    </row>
    <row r="549" spans="1:17" ht="28" customHeight="1" x14ac:dyDescent="0.35">
      <c r="A549" s="234"/>
      <c r="B549" s="235"/>
      <c r="C549" s="78"/>
      <c r="D549" s="78"/>
      <c r="E549" s="15"/>
      <c r="F549" s="66" t="s">
        <v>37</v>
      </c>
      <c r="G549" s="67">
        <f t="shared" si="313"/>
        <v>0</v>
      </c>
      <c r="H549" s="67">
        <f t="shared" si="333"/>
        <v>0</v>
      </c>
      <c r="I549" s="67">
        <f t="shared" si="333"/>
        <v>0</v>
      </c>
      <c r="J549" s="67">
        <f>K549+L549</f>
        <v>0</v>
      </c>
      <c r="K549" s="67">
        <v>0</v>
      </c>
      <c r="L549" s="67">
        <v>0</v>
      </c>
      <c r="M549" s="67">
        <v>0</v>
      </c>
      <c r="N549" s="67">
        <f>O549+P549</f>
        <v>0</v>
      </c>
      <c r="O549" s="67">
        <v>0</v>
      </c>
      <c r="P549" s="67">
        <v>0</v>
      </c>
      <c r="Q549" s="67">
        <v>0</v>
      </c>
    </row>
    <row r="550" spans="1:17" ht="28" customHeight="1" x14ac:dyDescent="0.35">
      <c r="A550" s="234"/>
      <c r="B550" s="235"/>
      <c r="C550" s="78"/>
      <c r="D550" s="78"/>
      <c r="E550" s="15"/>
      <c r="F550" s="66" t="s">
        <v>38</v>
      </c>
      <c r="G550" s="71">
        <f t="shared" si="313"/>
        <v>962870</v>
      </c>
      <c r="H550" s="71">
        <f t="shared" si="333"/>
        <v>962870</v>
      </c>
      <c r="I550" s="71">
        <f t="shared" si="333"/>
        <v>0</v>
      </c>
      <c r="J550" s="71">
        <f>K550+L550</f>
        <v>962870</v>
      </c>
      <c r="K550" s="71">
        <f>2301715-389446-225364-59740-664295</f>
        <v>962870</v>
      </c>
      <c r="L550" s="71">
        <v>0</v>
      </c>
      <c r="M550" s="71">
        <v>0</v>
      </c>
      <c r="N550" s="71">
        <f>O550+P550</f>
        <v>0</v>
      </c>
      <c r="O550" s="71">
        <v>0</v>
      </c>
      <c r="P550" s="71">
        <v>0</v>
      </c>
      <c r="Q550" s="71">
        <v>0</v>
      </c>
    </row>
    <row r="551" spans="1:17" ht="28" customHeight="1" x14ac:dyDescent="0.35">
      <c r="A551" s="234"/>
      <c r="B551" s="235"/>
      <c r="C551" s="78"/>
      <c r="D551" s="78"/>
      <c r="E551" s="15"/>
      <c r="F551" s="66" t="s">
        <v>39</v>
      </c>
      <c r="G551" s="71">
        <f t="shared" si="313"/>
        <v>0</v>
      </c>
      <c r="H551" s="71">
        <f t="shared" si="333"/>
        <v>0</v>
      </c>
      <c r="I551" s="71">
        <f t="shared" si="333"/>
        <v>0</v>
      </c>
      <c r="J551" s="71">
        <f>K551+L551</f>
        <v>0</v>
      </c>
      <c r="K551" s="71">
        <v>0</v>
      </c>
      <c r="L551" s="71">
        <v>0</v>
      </c>
      <c r="M551" s="71">
        <v>0</v>
      </c>
      <c r="N551" s="71">
        <f>O551+P551</f>
        <v>0</v>
      </c>
      <c r="O551" s="71">
        <v>0</v>
      </c>
      <c r="P551" s="71">
        <v>0</v>
      </c>
      <c r="Q551" s="71">
        <v>0</v>
      </c>
    </row>
    <row r="552" spans="1:17" ht="28" customHeight="1" x14ac:dyDescent="0.35">
      <c r="A552" s="234" t="s">
        <v>431</v>
      </c>
      <c r="B552" s="235" t="s">
        <v>414</v>
      </c>
      <c r="C552" s="56">
        <f>C553</f>
        <v>44495896</v>
      </c>
      <c r="D552" s="57">
        <f>D553</f>
        <v>0</v>
      </c>
      <c r="E552" s="58">
        <f>E553</f>
        <v>0</v>
      </c>
      <c r="F552" s="59" t="s">
        <v>432</v>
      </c>
      <c r="G552" s="58">
        <f t="shared" si="313"/>
        <v>44495896</v>
      </c>
      <c r="H552" s="58">
        <f t="shared" si="333"/>
        <v>44495896</v>
      </c>
      <c r="I552" s="58">
        <f t="shared" si="333"/>
        <v>0</v>
      </c>
      <c r="J552" s="58">
        <f>J553</f>
        <v>44495896</v>
      </c>
      <c r="K552" s="58">
        <f t="shared" ref="K552:Q552" si="338">K553</f>
        <v>44495896</v>
      </c>
      <c r="L552" s="58">
        <f t="shared" si="338"/>
        <v>0</v>
      </c>
      <c r="M552" s="58">
        <f t="shared" si="338"/>
        <v>0</v>
      </c>
      <c r="N552" s="58">
        <f t="shared" si="338"/>
        <v>0</v>
      </c>
      <c r="O552" s="58">
        <f t="shared" si="338"/>
        <v>0</v>
      </c>
      <c r="P552" s="58">
        <f t="shared" si="338"/>
        <v>0</v>
      </c>
      <c r="Q552" s="58">
        <f t="shared" si="338"/>
        <v>0</v>
      </c>
    </row>
    <row r="553" spans="1:17" ht="28" customHeight="1" x14ac:dyDescent="0.35">
      <c r="A553" s="234"/>
      <c r="B553" s="235"/>
      <c r="C553" s="69">
        <f>G555+G556</f>
        <v>44495896</v>
      </c>
      <c r="D553" s="60">
        <v>0</v>
      </c>
      <c r="E553" s="60">
        <v>0</v>
      </c>
      <c r="F553" s="61" t="s">
        <v>36</v>
      </c>
      <c r="G553" s="60">
        <f t="shared" si="313"/>
        <v>44495896</v>
      </c>
      <c r="H553" s="60">
        <f t="shared" si="333"/>
        <v>44495896</v>
      </c>
      <c r="I553" s="60">
        <f t="shared" si="333"/>
        <v>0</v>
      </c>
      <c r="J553" s="60">
        <f>J554+J555+J556</f>
        <v>44495896</v>
      </c>
      <c r="K553" s="60">
        <f t="shared" ref="K553:Q553" si="339">K554+K555+K556</f>
        <v>44495896</v>
      </c>
      <c r="L553" s="60">
        <f t="shared" si="339"/>
        <v>0</v>
      </c>
      <c r="M553" s="60">
        <f t="shared" si="339"/>
        <v>0</v>
      </c>
      <c r="N553" s="60">
        <f t="shared" si="339"/>
        <v>0</v>
      </c>
      <c r="O553" s="60">
        <f t="shared" si="339"/>
        <v>0</v>
      </c>
      <c r="P553" s="60">
        <f t="shared" si="339"/>
        <v>0</v>
      </c>
      <c r="Q553" s="60">
        <f t="shared" si="339"/>
        <v>0</v>
      </c>
    </row>
    <row r="554" spans="1:17" ht="28" customHeight="1" x14ac:dyDescent="0.35">
      <c r="A554" s="234"/>
      <c r="B554" s="235"/>
      <c r="C554" s="78"/>
      <c r="D554" s="78"/>
      <c r="E554" s="121"/>
      <c r="F554" s="66" t="s">
        <v>37</v>
      </c>
      <c r="G554" s="67">
        <f t="shared" si="313"/>
        <v>0</v>
      </c>
      <c r="H554" s="67">
        <f t="shared" si="333"/>
        <v>0</v>
      </c>
      <c r="I554" s="67">
        <f t="shared" si="333"/>
        <v>0</v>
      </c>
      <c r="J554" s="67">
        <f>K554+L554</f>
        <v>0</v>
      </c>
      <c r="K554" s="67">
        <v>0</v>
      </c>
      <c r="L554" s="67">
        <v>0</v>
      </c>
      <c r="M554" s="67">
        <v>0</v>
      </c>
      <c r="N554" s="67">
        <f>O554+P554</f>
        <v>0</v>
      </c>
      <c r="O554" s="67">
        <v>0</v>
      </c>
      <c r="P554" s="67">
        <v>0</v>
      </c>
      <c r="Q554" s="67">
        <v>0</v>
      </c>
    </row>
    <row r="555" spans="1:17" ht="28" customHeight="1" x14ac:dyDescent="0.35">
      <c r="A555" s="234"/>
      <c r="B555" s="235"/>
      <c r="C555" s="78"/>
      <c r="D555" s="78"/>
      <c r="E555" s="121"/>
      <c r="F555" s="66" t="s">
        <v>38</v>
      </c>
      <c r="G555" s="71">
        <f t="shared" si="313"/>
        <v>44495896</v>
      </c>
      <c r="H555" s="71">
        <f t="shared" si="333"/>
        <v>44495896</v>
      </c>
      <c r="I555" s="71">
        <f t="shared" si="333"/>
        <v>0</v>
      </c>
      <c r="J555" s="71">
        <f>K555+L555</f>
        <v>44495896</v>
      </c>
      <c r="K555" s="71">
        <f>37416724-800000+389446+425167+225364+1000000+103456+1202282+1883276-1126817-304750+4081748</f>
        <v>44495896</v>
      </c>
      <c r="L555" s="71">
        <v>0</v>
      </c>
      <c r="M555" s="71">
        <v>0</v>
      </c>
      <c r="N555" s="71">
        <f>O555+P555</f>
        <v>0</v>
      </c>
      <c r="O555" s="71">
        <v>0</v>
      </c>
      <c r="P555" s="71">
        <v>0</v>
      </c>
      <c r="Q555" s="71">
        <v>0</v>
      </c>
    </row>
    <row r="556" spans="1:17" ht="28" customHeight="1" x14ac:dyDescent="0.35">
      <c r="A556" s="234"/>
      <c r="B556" s="235"/>
      <c r="C556" s="78"/>
      <c r="D556" s="78"/>
      <c r="E556" s="121"/>
      <c r="F556" s="66" t="s">
        <v>39</v>
      </c>
      <c r="G556" s="71">
        <f t="shared" si="313"/>
        <v>0</v>
      </c>
      <c r="H556" s="71">
        <f t="shared" si="333"/>
        <v>0</v>
      </c>
      <c r="I556" s="71">
        <f t="shared" si="333"/>
        <v>0</v>
      </c>
      <c r="J556" s="71">
        <f>K556+L556</f>
        <v>0</v>
      </c>
      <c r="K556" s="71">
        <v>0</v>
      </c>
      <c r="L556" s="71">
        <v>0</v>
      </c>
      <c r="M556" s="71">
        <v>0</v>
      </c>
      <c r="N556" s="71">
        <f>O556+P556</f>
        <v>0</v>
      </c>
      <c r="O556" s="71">
        <v>0</v>
      </c>
      <c r="P556" s="71">
        <v>0</v>
      </c>
      <c r="Q556" s="71">
        <v>0</v>
      </c>
    </row>
    <row r="557" spans="1:17" ht="28" customHeight="1" x14ac:dyDescent="0.35">
      <c r="A557" s="236" t="s">
        <v>433</v>
      </c>
      <c r="B557" s="235" t="s">
        <v>417</v>
      </c>
      <c r="C557" s="56">
        <f>C558</f>
        <v>153354268</v>
      </c>
      <c r="D557" s="57"/>
      <c r="E557" s="58"/>
      <c r="F557" s="59" t="s">
        <v>434</v>
      </c>
      <c r="G557" s="58">
        <f t="shared" si="313"/>
        <v>153354268</v>
      </c>
      <c r="H557" s="58">
        <f t="shared" si="333"/>
        <v>153354268</v>
      </c>
      <c r="I557" s="58">
        <f t="shared" si="333"/>
        <v>0</v>
      </c>
      <c r="J557" s="58">
        <f>J558</f>
        <v>153354268</v>
      </c>
      <c r="K557" s="58">
        <f t="shared" ref="K557:Q557" si="340">K558</f>
        <v>153354268</v>
      </c>
      <c r="L557" s="58">
        <f t="shared" si="340"/>
        <v>0</v>
      </c>
      <c r="M557" s="58">
        <f t="shared" si="340"/>
        <v>0</v>
      </c>
      <c r="N557" s="58">
        <f t="shared" si="340"/>
        <v>0</v>
      </c>
      <c r="O557" s="58">
        <f t="shared" si="340"/>
        <v>0</v>
      </c>
      <c r="P557" s="58">
        <f t="shared" si="340"/>
        <v>0</v>
      </c>
      <c r="Q557" s="58">
        <f t="shared" si="340"/>
        <v>0</v>
      </c>
    </row>
    <row r="558" spans="1:17" ht="28" customHeight="1" x14ac:dyDescent="0.35">
      <c r="A558" s="237"/>
      <c r="B558" s="235"/>
      <c r="C558" s="69">
        <f>G560+G561</f>
        <v>153354268</v>
      </c>
      <c r="D558" s="60"/>
      <c r="E558" s="60"/>
      <c r="F558" s="61" t="s">
        <v>36</v>
      </c>
      <c r="G558" s="60">
        <f t="shared" si="313"/>
        <v>153354268</v>
      </c>
      <c r="H558" s="60">
        <f t="shared" si="333"/>
        <v>153354268</v>
      </c>
      <c r="I558" s="60">
        <f t="shared" si="333"/>
        <v>0</v>
      </c>
      <c r="J558" s="60">
        <f>J559+J560+J561</f>
        <v>153354268</v>
      </c>
      <c r="K558" s="60">
        <f t="shared" ref="K558:Q558" si="341">K559+K560+K561</f>
        <v>153354268</v>
      </c>
      <c r="L558" s="60">
        <f t="shared" si="341"/>
        <v>0</v>
      </c>
      <c r="M558" s="60">
        <f t="shared" si="341"/>
        <v>0</v>
      </c>
      <c r="N558" s="60">
        <f t="shared" si="341"/>
        <v>0</v>
      </c>
      <c r="O558" s="60">
        <f t="shared" si="341"/>
        <v>0</v>
      </c>
      <c r="P558" s="60">
        <f t="shared" si="341"/>
        <v>0</v>
      </c>
      <c r="Q558" s="60">
        <f t="shared" si="341"/>
        <v>0</v>
      </c>
    </row>
    <row r="559" spans="1:17" ht="28" customHeight="1" x14ac:dyDescent="0.35">
      <c r="A559" s="237"/>
      <c r="B559" s="235"/>
      <c r="C559" s="78"/>
      <c r="D559" s="78"/>
      <c r="E559" s="121"/>
      <c r="F559" s="66" t="s">
        <v>37</v>
      </c>
      <c r="G559" s="67">
        <f t="shared" si="313"/>
        <v>0</v>
      </c>
      <c r="H559" s="67">
        <f t="shared" si="333"/>
        <v>0</v>
      </c>
      <c r="I559" s="67">
        <f t="shared" si="333"/>
        <v>0</v>
      </c>
      <c r="J559" s="67">
        <f t="shared" ref="J559:J561" si="342">K559+L559</f>
        <v>0</v>
      </c>
      <c r="K559" s="67">
        <v>0</v>
      </c>
      <c r="L559" s="67">
        <v>0</v>
      </c>
      <c r="M559" s="67">
        <v>0</v>
      </c>
      <c r="N559" s="67">
        <f>O559+P559</f>
        <v>0</v>
      </c>
      <c r="O559" s="67">
        <v>0</v>
      </c>
      <c r="P559" s="67">
        <v>0</v>
      </c>
      <c r="Q559" s="67">
        <v>0</v>
      </c>
    </row>
    <row r="560" spans="1:17" ht="28" customHeight="1" x14ac:dyDescent="0.35">
      <c r="A560" s="237"/>
      <c r="B560" s="235"/>
      <c r="C560" s="78"/>
      <c r="D560" s="78"/>
      <c r="E560" s="121"/>
      <c r="F560" s="66" t="s">
        <v>38</v>
      </c>
      <c r="G560" s="71">
        <f t="shared" si="313"/>
        <v>153354268</v>
      </c>
      <c r="H560" s="71">
        <f t="shared" si="333"/>
        <v>153354268</v>
      </c>
      <c r="I560" s="71">
        <f t="shared" si="333"/>
        <v>0</v>
      </c>
      <c r="J560" s="71">
        <f t="shared" si="342"/>
        <v>153354268</v>
      </c>
      <c r="K560" s="71">
        <f>163191591-6579801-3118850-138672</f>
        <v>153354268</v>
      </c>
      <c r="L560" s="71">
        <v>0</v>
      </c>
      <c r="M560" s="71">
        <v>0</v>
      </c>
      <c r="N560" s="71">
        <f>O560+P560</f>
        <v>0</v>
      </c>
      <c r="O560" s="71">
        <v>0</v>
      </c>
      <c r="P560" s="71">
        <v>0</v>
      </c>
      <c r="Q560" s="71">
        <v>0</v>
      </c>
    </row>
    <row r="561" spans="1:17" ht="28" customHeight="1" x14ac:dyDescent="0.35">
      <c r="A561" s="238"/>
      <c r="B561" s="235"/>
      <c r="C561" s="78"/>
      <c r="D561" s="78"/>
      <c r="E561" s="121"/>
      <c r="F561" s="66" t="s">
        <v>39</v>
      </c>
      <c r="G561" s="71">
        <f t="shared" si="313"/>
        <v>0</v>
      </c>
      <c r="H561" s="71">
        <f t="shared" si="333"/>
        <v>0</v>
      </c>
      <c r="I561" s="71">
        <f t="shared" si="333"/>
        <v>0</v>
      </c>
      <c r="J561" s="71">
        <f t="shared" si="342"/>
        <v>0</v>
      </c>
      <c r="K561" s="71">
        <v>0</v>
      </c>
      <c r="L561" s="71">
        <v>0</v>
      </c>
      <c r="M561" s="71">
        <v>0</v>
      </c>
      <c r="N561" s="71">
        <f>O561+P561</f>
        <v>0</v>
      </c>
      <c r="O561" s="71">
        <v>0</v>
      </c>
      <c r="P561" s="71">
        <v>0</v>
      </c>
      <c r="Q561" s="71">
        <v>0</v>
      </c>
    </row>
    <row r="562" spans="1:17" ht="28" customHeight="1" x14ac:dyDescent="0.35">
      <c r="A562" s="45" t="s">
        <v>778</v>
      </c>
      <c r="B562" s="46" t="s">
        <v>776</v>
      </c>
      <c r="C562" s="47">
        <f>C563</f>
        <v>41532797</v>
      </c>
      <c r="D562" s="47">
        <f t="shared" ref="D562:E563" si="343">D563</f>
        <v>0</v>
      </c>
      <c r="E562" s="47">
        <f t="shared" si="343"/>
        <v>0</v>
      </c>
      <c r="F562" s="49"/>
      <c r="G562" s="48">
        <f t="shared" si="313"/>
        <v>41532797</v>
      </c>
      <c r="H562" s="48">
        <f t="shared" si="333"/>
        <v>40532797</v>
      </c>
      <c r="I562" s="48">
        <f t="shared" si="333"/>
        <v>1000000</v>
      </c>
      <c r="J562" s="48">
        <f>J563</f>
        <v>41532797</v>
      </c>
      <c r="K562" s="48">
        <f t="shared" ref="K562:Q563" si="344">K563</f>
        <v>40532797</v>
      </c>
      <c r="L562" s="48">
        <f t="shared" si="344"/>
        <v>1000000</v>
      </c>
      <c r="M562" s="48">
        <f t="shared" si="344"/>
        <v>0</v>
      </c>
      <c r="N562" s="48">
        <f t="shared" si="344"/>
        <v>0</v>
      </c>
      <c r="O562" s="48">
        <f t="shared" si="344"/>
        <v>0</v>
      </c>
      <c r="P562" s="48">
        <f t="shared" si="344"/>
        <v>0</v>
      </c>
      <c r="Q562" s="48">
        <f t="shared" si="344"/>
        <v>0</v>
      </c>
    </row>
    <row r="563" spans="1:17" ht="28.5" x14ac:dyDescent="0.35">
      <c r="A563" s="228" t="s">
        <v>775</v>
      </c>
      <c r="B563" s="231" t="s">
        <v>777</v>
      </c>
      <c r="C563" s="52">
        <f>C564</f>
        <v>41532797</v>
      </c>
      <c r="D563" s="52">
        <f t="shared" si="343"/>
        <v>0</v>
      </c>
      <c r="E563" s="52">
        <f t="shared" si="343"/>
        <v>0</v>
      </c>
      <c r="F563" s="54" t="s">
        <v>774</v>
      </c>
      <c r="G563" s="52">
        <f t="shared" si="313"/>
        <v>41532797</v>
      </c>
      <c r="H563" s="52">
        <f t="shared" si="333"/>
        <v>40532797</v>
      </c>
      <c r="I563" s="52">
        <f t="shared" si="333"/>
        <v>1000000</v>
      </c>
      <c r="J563" s="52">
        <f>J564</f>
        <v>41532797</v>
      </c>
      <c r="K563" s="52">
        <f t="shared" si="344"/>
        <v>40532797</v>
      </c>
      <c r="L563" s="52">
        <f t="shared" si="344"/>
        <v>1000000</v>
      </c>
      <c r="M563" s="52">
        <f t="shared" si="344"/>
        <v>0</v>
      </c>
      <c r="N563" s="52">
        <f t="shared" si="344"/>
        <v>0</v>
      </c>
      <c r="O563" s="52">
        <f t="shared" si="344"/>
        <v>0</v>
      </c>
      <c r="P563" s="52">
        <f t="shared" si="344"/>
        <v>0</v>
      </c>
      <c r="Q563" s="52">
        <f t="shared" si="344"/>
        <v>0</v>
      </c>
    </row>
    <row r="564" spans="1:17" ht="28.5" x14ac:dyDescent="0.35">
      <c r="A564" s="229"/>
      <c r="B564" s="232"/>
      <c r="C564" s="69">
        <f>G565+G566</f>
        <v>41532797</v>
      </c>
      <c r="D564" s="60">
        <v>0</v>
      </c>
      <c r="E564" s="60">
        <v>0</v>
      </c>
      <c r="F564" s="61" t="s">
        <v>115</v>
      </c>
      <c r="G564" s="60">
        <f t="shared" si="313"/>
        <v>41532797</v>
      </c>
      <c r="H564" s="60">
        <f t="shared" si="333"/>
        <v>40532797</v>
      </c>
      <c r="I564" s="60">
        <f t="shared" si="333"/>
        <v>1000000</v>
      </c>
      <c r="J564" s="60">
        <f>J565+J566</f>
        <v>41532797</v>
      </c>
      <c r="K564" s="60">
        <f t="shared" ref="K564:Q564" si="345">K565+K566</f>
        <v>40532797</v>
      </c>
      <c r="L564" s="60">
        <f t="shared" si="345"/>
        <v>1000000</v>
      </c>
      <c r="M564" s="60">
        <f t="shared" si="345"/>
        <v>0</v>
      </c>
      <c r="N564" s="60">
        <f t="shared" si="345"/>
        <v>0</v>
      </c>
      <c r="O564" s="60">
        <f t="shared" si="345"/>
        <v>0</v>
      </c>
      <c r="P564" s="60">
        <f t="shared" si="345"/>
        <v>0</v>
      </c>
      <c r="Q564" s="60">
        <f t="shared" si="345"/>
        <v>0</v>
      </c>
    </row>
    <row r="565" spans="1:17" ht="28" customHeight="1" x14ac:dyDescent="0.35">
      <c r="A565" s="229"/>
      <c r="B565" s="232"/>
      <c r="C565" s="199"/>
      <c r="D565" s="200"/>
      <c r="E565" s="200"/>
      <c r="F565" s="66" t="s">
        <v>275</v>
      </c>
      <c r="G565" s="71">
        <f t="shared" si="313"/>
        <v>25764255</v>
      </c>
      <c r="H565" s="71">
        <f t="shared" si="313"/>
        <v>25764255</v>
      </c>
      <c r="I565" s="71">
        <f t="shared" si="313"/>
        <v>0</v>
      </c>
      <c r="J565" s="71">
        <f t="shared" ref="J565:J566" si="346">K565+L565</f>
        <v>25764255</v>
      </c>
      <c r="K565" s="71">
        <f>25764255</f>
        <v>25764255</v>
      </c>
      <c r="L565" s="71">
        <v>0</v>
      </c>
      <c r="M565" s="71">
        <v>0</v>
      </c>
      <c r="N565" s="71">
        <f t="shared" ref="N565:N566" si="347">O565+P565</f>
        <v>0</v>
      </c>
      <c r="O565" s="71">
        <v>0</v>
      </c>
      <c r="P565" s="71">
        <v>0</v>
      </c>
      <c r="Q565" s="71">
        <v>0</v>
      </c>
    </row>
    <row r="566" spans="1:17" ht="28" customHeight="1" x14ac:dyDescent="0.35">
      <c r="A566" s="230"/>
      <c r="B566" s="233"/>
      <c r="C566" s="199"/>
      <c r="D566" s="200"/>
      <c r="E566" s="200"/>
      <c r="F566" s="66" t="s">
        <v>276</v>
      </c>
      <c r="G566" s="71">
        <f t="shared" ref="G566:I571" si="348">J566+M566+N566+Q566</f>
        <v>15768542</v>
      </c>
      <c r="H566" s="71">
        <f t="shared" si="348"/>
        <v>14768542</v>
      </c>
      <c r="I566" s="71">
        <f t="shared" si="348"/>
        <v>1000000</v>
      </c>
      <c r="J566" s="71">
        <f t="shared" si="346"/>
        <v>15768542</v>
      </c>
      <c r="K566" s="71">
        <f>14768542</f>
        <v>14768542</v>
      </c>
      <c r="L566" s="71">
        <f>1000000</f>
        <v>1000000</v>
      </c>
      <c r="M566" s="71">
        <v>0</v>
      </c>
      <c r="N566" s="71">
        <f t="shared" si="347"/>
        <v>0</v>
      </c>
      <c r="O566" s="71">
        <v>0</v>
      </c>
      <c r="P566" s="71">
        <v>0</v>
      </c>
      <c r="Q566" s="71">
        <v>0</v>
      </c>
    </row>
    <row r="567" spans="1:17" ht="28" customHeight="1" x14ac:dyDescent="0.35">
      <c r="A567" s="45" t="s">
        <v>779</v>
      </c>
      <c r="B567" s="46" t="s">
        <v>780</v>
      </c>
      <c r="C567" s="47">
        <f>C568</f>
        <v>3054480</v>
      </c>
      <c r="D567" s="47">
        <f t="shared" ref="D567:E568" si="349">D568</f>
        <v>0</v>
      </c>
      <c r="E567" s="47">
        <f t="shared" si="349"/>
        <v>0</v>
      </c>
      <c r="F567" s="49"/>
      <c r="G567" s="48">
        <f t="shared" si="348"/>
        <v>3054480</v>
      </c>
      <c r="H567" s="48">
        <f t="shared" ref="H567:I569" si="350">K567+O567</f>
        <v>2206409</v>
      </c>
      <c r="I567" s="48">
        <f t="shared" si="350"/>
        <v>848071</v>
      </c>
      <c r="J567" s="48">
        <f>J568</f>
        <v>3054480</v>
      </c>
      <c r="K567" s="48">
        <f t="shared" ref="K567:Q568" si="351">K568</f>
        <v>2206409</v>
      </c>
      <c r="L567" s="48">
        <f t="shared" si="351"/>
        <v>848071</v>
      </c>
      <c r="M567" s="48">
        <f t="shared" si="351"/>
        <v>0</v>
      </c>
      <c r="N567" s="48">
        <f t="shared" si="351"/>
        <v>0</v>
      </c>
      <c r="O567" s="48">
        <f t="shared" si="351"/>
        <v>0</v>
      </c>
      <c r="P567" s="48">
        <f t="shared" si="351"/>
        <v>0</v>
      </c>
      <c r="Q567" s="48">
        <f t="shared" si="351"/>
        <v>0</v>
      </c>
    </row>
    <row r="568" spans="1:17" ht="28" customHeight="1" x14ac:dyDescent="0.35">
      <c r="A568" s="228" t="s">
        <v>781</v>
      </c>
      <c r="B568" s="231" t="s">
        <v>782</v>
      </c>
      <c r="C568" s="52">
        <f>C569</f>
        <v>3054480</v>
      </c>
      <c r="D568" s="52">
        <f t="shared" si="349"/>
        <v>0</v>
      </c>
      <c r="E568" s="52">
        <f t="shared" si="349"/>
        <v>0</v>
      </c>
      <c r="F568" s="54" t="s">
        <v>783</v>
      </c>
      <c r="G568" s="52">
        <f t="shared" si="348"/>
        <v>3054480</v>
      </c>
      <c r="H568" s="52">
        <f t="shared" si="350"/>
        <v>2206409</v>
      </c>
      <c r="I568" s="52">
        <f t="shared" si="350"/>
        <v>848071</v>
      </c>
      <c r="J568" s="52">
        <f>J569</f>
        <v>3054480</v>
      </c>
      <c r="K568" s="52">
        <f t="shared" si="351"/>
        <v>2206409</v>
      </c>
      <c r="L568" s="52">
        <f t="shared" si="351"/>
        <v>848071</v>
      </c>
      <c r="M568" s="52">
        <f t="shared" si="351"/>
        <v>0</v>
      </c>
      <c r="N568" s="52">
        <f t="shared" si="351"/>
        <v>0</v>
      </c>
      <c r="O568" s="52">
        <f t="shared" si="351"/>
        <v>0</v>
      </c>
      <c r="P568" s="52">
        <f t="shared" si="351"/>
        <v>0</v>
      </c>
      <c r="Q568" s="52">
        <f t="shared" si="351"/>
        <v>0</v>
      </c>
    </row>
    <row r="569" spans="1:17" ht="28" customHeight="1" x14ac:dyDescent="0.35">
      <c r="A569" s="229"/>
      <c r="B569" s="232"/>
      <c r="C569" s="69">
        <f>G570+G571</f>
        <v>3054480</v>
      </c>
      <c r="D569" s="60">
        <v>0</v>
      </c>
      <c r="E569" s="60">
        <v>0</v>
      </c>
      <c r="F569" s="61" t="s">
        <v>36</v>
      </c>
      <c r="G569" s="60">
        <f t="shared" si="348"/>
        <v>3054480</v>
      </c>
      <c r="H569" s="60">
        <f t="shared" si="350"/>
        <v>2206409</v>
      </c>
      <c r="I569" s="60">
        <f t="shared" si="350"/>
        <v>848071</v>
      </c>
      <c r="J569" s="60">
        <f>J570+J571</f>
        <v>3054480</v>
      </c>
      <c r="K569" s="60">
        <f t="shared" ref="K569:Q569" si="352">K570+K571</f>
        <v>2206409</v>
      </c>
      <c r="L569" s="60">
        <f t="shared" si="352"/>
        <v>848071</v>
      </c>
      <c r="M569" s="60">
        <f t="shared" si="352"/>
        <v>0</v>
      </c>
      <c r="N569" s="60">
        <f t="shared" si="352"/>
        <v>0</v>
      </c>
      <c r="O569" s="60">
        <f t="shared" si="352"/>
        <v>0</v>
      </c>
      <c r="P569" s="60">
        <f t="shared" si="352"/>
        <v>0</v>
      </c>
      <c r="Q569" s="60">
        <f t="shared" si="352"/>
        <v>0</v>
      </c>
    </row>
    <row r="570" spans="1:17" ht="28" customHeight="1" x14ac:dyDescent="0.35">
      <c r="A570" s="229"/>
      <c r="B570" s="232"/>
      <c r="C570" s="199"/>
      <c r="D570" s="200"/>
      <c r="E570" s="200"/>
      <c r="F570" s="66" t="s">
        <v>38</v>
      </c>
      <c r="G570" s="71">
        <f t="shared" si="348"/>
        <v>0</v>
      </c>
      <c r="H570" s="71">
        <f t="shared" si="348"/>
        <v>0</v>
      </c>
      <c r="I570" s="71">
        <f t="shared" si="348"/>
        <v>0</v>
      </c>
      <c r="J570" s="71">
        <f t="shared" ref="J570:J571" si="353">K570+L570</f>
        <v>0</v>
      </c>
      <c r="K570" s="71">
        <v>0</v>
      </c>
      <c r="L570" s="71">
        <v>0</v>
      </c>
      <c r="M570" s="71">
        <v>0</v>
      </c>
      <c r="N570" s="71">
        <f t="shared" ref="N570:N571" si="354">O570+P570</f>
        <v>0</v>
      </c>
      <c r="O570" s="71">
        <v>0</v>
      </c>
      <c r="P570" s="71">
        <v>0</v>
      </c>
      <c r="Q570" s="71">
        <v>0</v>
      </c>
    </row>
    <row r="571" spans="1:17" ht="28" customHeight="1" x14ac:dyDescent="0.35">
      <c r="A571" s="230"/>
      <c r="B571" s="233"/>
      <c r="C571" s="199"/>
      <c r="D571" s="200"/>
      <c r="E571" s="200"/>
      <c r="F571" s="66" t="s">
        <v>39</v>
      </c>
      <c r="G571" s="71">
        <f t="shared" si="348"/>
        <v>3054480</v>
      </c>
      <c r="H571" s="71">
        <f t="shared" si="348"/>
        <v>2206409</v>
      </c>
      <c r="I571" s="71">
        <f t="shared" si="348"/>
        <v>848071</v>
      </c>
      <c r="J571" s="71">
        <f t="shared" si="353"/>
        <v>3054480</v>
      </c>
      <c r="K571" s="71">
        <f>2206409</f>
        <v>2206409</v>
      </c>
      <c r="L571" s="71">
        <f>848071</f>
        <v>848071</v>
      </c>
      <c r="M571" s="71">
        <v>0</v>
      </c>
      <c r="N571" s="71">
        <f t="shared" si="354"/>
        <v>0</v>
      </c>
      <c r="O571" s="71">
        <v>0</v>
      </c>
      <c r="P571" s="71">
        <v>0</v>
      </c>
      <c r="Q571" s="71">
        <v>0</v>
      </c>
    </row>
    <row r="572" spans="1:17" s="55" customFormat="1" ht="28.5" x14ac:dyDescent="0.35">
      <c r="A572" s="39" t="s">
        <v>435</v>
      </c>
      <c r="B572" s="40" t="s">
        <v>11</v>
      </c>
      <c r="C572" s="41">
        <f>C573+C615</f>
        <v>0</v>
      </c>
      <c r="D572" s="41">
        <f t="shared" ref="D572:Q572" si="355">D573+D615</f>
        <v>0</v>
      </c>
      <c r="E572" s="41">
        <f t="shared" si="355"/>
        <v>75915600</v>
      </c>
      <c r="F572" s="43"/>
      <c r="G572" s="41">
        <f t="shared" si="355"/>
        <v>440658242</v>
      </c>
      <c r="H572" s="41">
        <f t="shared" si="355"/>
        <v>0</v>
      </c>
      <c r="I572" s="41">
        <f t="shared" si="355"/>
        <v>0</v>
      </c>
      <c r="J572" s="41">
        <f t="shared" si="355"/>
        <v>0</v>
      </c>
      <c r="K572" s="41">
        <f t="shared" si="355"/>
        <v>0</v>
      </c>
      <c r="L572" s="41">
        <f t="shared" si="355"/>
        <v>0</v>
      </c>
      <c r="M572" s="41">
        <f t="shared" si="355"/>
        <v>0</v>
      </c>
      <c r="N572" s="41">
        <f t="shared" si="355"/>
        <v>0</v>
      </c>
      <c r="O572" s="41">
        <f t="shared" si="355"/>
        <v>0</v>
      </c>
      <c r="P572" s="41">
        <f t="shared" si="355"/>
        <v>0</v>
      </c>
      <c r="Q572" s="41">
        <f t="shared" si="355"/>
        <v>440658242</v>
      </c>
    </row>
    <row r="573" spans="1:17" s="55" customFormat="1" ht="28.5" x14ac:dyDescent="0.35">
      <c r="A573" s="45" t="s">
        <v>436</v>
      </c>
      <c r="B573" s="46" t="s">
        <v>11</v>
      </c>
      <c r="C573" s="47">
        <f t="shared" ref="C573:E573" si="356">C574</f>
        <v>0</v>
      </c>
      <c r="D573" s="47">
        <f t="shared" si="356"/>
        <v>0</v>
      </c>
      <c r="E573" s="48">
        <f t="shared" si="356"/>
        <v>70415600</v>
      </c>
      <c r="F573" s="49"/>
      <c r="G573" s="48">
        <f t="shared" ref="G573:Q573" si="357">G574</f>
        <v>435158242</v>
      </c>
      <c r="H573" s="48">
        <f t="shared" si="333"/>
        <v>0</v>
      </c>
      <c r="I573" s="48">
        <f t="shared" si="333"/>
        <v>0</v>
      </c>
      <c r="J573" s="48">
        <f t="shared" si="357"/>
        <v>0</v>
      </c>
      <c r="K573" s="48">
        <f t="shared" si="357"/>
        <v>0</v>
      </c>
      <c r="L573" s="48">
        <f t="shared" si="357"/>
        <v>0</v>
      </c>
      <c r="M573" s="48">
        <f t="shared" si="357"/>
        <v>0</v>
      </c>
      <c r="N573" s="48">
        <f t="shared" si="357"/>
        <v>0</v>
      </c>
      <c r="O573" s="48">
        <f t="shared" si="357"/>
        <v>0</v>
      </c>
      <c r="P573" s="48">
        <f t="shared" si="357"/>
        <v>0</v>
      </c>
      <c r="Q573" s="48">
        <f t="shared" si="357"/>
        <v>435158242</v>
      </c>
    </row>
    <row r="574" spans="1:17" ht="130" x14ac:dyDescent="0.35">
      <c r="A574" s="87" t="s">
        <v>437</v>
      </c>
      <c r="B574" s="88" t="s">
        <v>438</v>
      </c>
      <c r="C574" s="52">
        <f>C575+C583+C588+C591+C599+C604+C607+C612</f>
        <v>0</v>
      </c>
      <c r="D574" s="52">
        <f>D575+D583+D588+D591+D599+D604+D607+D612</f>
        <v>0</v>
      </c>
      <c r="E574" s="53">
        <f>E575+E583+E588+E591+E599+E604+E607+E612</f>
        <v>70415600</v>
      </c>
      <c r="F574" s="54" t="s">
        <v>439</v>
      </c>
      <c r="G574" s="52">
        <f>J574+M574+N574+Q574</f>
        <v>435158242</v>
      </c>
      <c r="H574" s="52">
        <f>K574+O574</f>
        <v>0</v>
      </c>
      <c r="I574" s="52">
        <f t="shared" si="333"/>
        <v>0</v>
      </c>
      <c r="J574" s="52">
        <f t="shared" ref="J574:Q574" si="358">J575+J583+J588+J591+J599+J604+J607+J612</f>
        <v>0</v>
      </c>
      <c r="K574" s="52">
        <f t="shared" si="358"/>
        <v>0</v>
      </c>
      <c r="L574" s="52">
        <f t="shared" si="358"/>
        <v>0</v>
      </c>
      <c r="M574" s="52">
        <f t="shared" si="358"/>
        <v>0</v>
      </c>
      <c r="N574" s="52">
        <f t="shared" si="358"/>
        <v>0</v>
      </c>
      <c r="O574" s="52">
        <f t="shared" si="358"/>
        <v>0</v>
      </c>
      <c r="P574" s="52">
        <f t="shared" si="358"/>
        <v>0</v>
      </c>
      <c r="Q574" s="52">
        <f t="shared" si="358"/>
        <v>435158242</v>
      </c>
    </row>
    <row r="575" spans="1:17" ht="28" customHeight="1" x14ac:dyDescent="0.35">
      <c r="A575" s="214" t="s">
        <v>440</v>
      </c>
      <c r="B575" s="215" t="s">
        <v>441</v>
      </c>
      <c r="C575" s="57">
        <f>C576+C578+C580</f>
        <v>0</v>
      </c>
      <c r="D575" s="57">
        <f>D576+D578+D580</f>
        <v>0</v>
      </c>
      <c r="E575" s="57">
        <f>E576+E578+E580</f>
        <v>44915600</v>
      </c>
      <c r="F575" s="59" t="s">
        <v>442</v>
      </c>
      <c r="G575" s="58">
        <f>J575+M575+N575+Q575</f>
        <v>48643000</v>
      </c>
      <c r="H575" s="58">
        <f>K575+O575</f>
        <v>0</v>
      </c>
      <c r="I575" s="58">
        <f>L575+P575</f>
        <v>0</v>
      </c>
      <c r="J575" s="58">
        <f t="shared" ref="J575:P575" si="359">J576+J580</f>
        <v>0</v>
      </c>
      <c r="K575" s="58">
        <f t="shared" si="359"/>
        <v>0</v>
      </c>
      <c r="L575" s="58">
        <f t="shared" si="359"/>
        <v>0</v>
      </c>
      <c r="M575" s="58">
        <f t="shared" si="359"/>
        <v>0</v>
      </c>
      <c r="N575" s="58">
        <f t="shared" si="359"/>
        <v>0</v>
      </c>
      <c r="O575" s="58">
        <f t="shared" si="359"/>
        <v>0</v>
      </c>
      <c r="P575" s="58">
        <f t="shared" si="359"/>
        <v>0</v>
      </c>
      <c r="Q575" s="58">
        <f>Q576+Q578+Q580</f>
        <v>48643000</v>
      </c>
    </row>
    <row r="576" spans="1:17" ht="28" customHeight="1" x14ac:dyDescent="0.35">
      <c r="A576" s="214"/>
      <c r="B576" s="215"/>
      <c r="C576" s="60">
        <v>0</v>
      </c>
      <c r="D576" s="60">
        <v>0</v>
      </c>
      <c r="E576" s="60">
        <v>0</v>
      </c>
      <c r="F576" s="61" t="s">
        <v>36</v>
      </c>
      <c r="G576" s="60">
        <f>J576+M576+N576+Q576</f>
        <v>3727400</v>
      </c>
      <c r="H576" s="60">
        <f>K576+O576</f>
        <v>0</v>
      </c>
      <c r="I576" s="60">
        <f>L576+P576</f>
        <v>0</v>
      </c>
      <c r="J576" s="60">
        <f>K576+L576</f>
        <v>0</v>
      </c>
      <c r="K576" s="60">
        <v>0</v>
      </c>
      <c r="L576" s="60">
        <v>0</v>
      </c>
      <c r="M576" s="60">
        <v>0</v>
      </c>
      <c r="N576" s="60">
        <f>O576+P576</f>
        <v>0</v>
      </c>
      <c r="O576" s="77">
        <v>0</v>
      </c>
      <c r="P576" s="77">
        <v>0</v>
      </c>
      <c r="Q576" s="60">
        <f>Q577</f>
        <v>3727400</v>
      </c>
    </row>
    <row r="577" spans="1:17" ht="28" customHeight="1" x14ac:dyDescent="0.35">
      <c r="A577" s="214"/>
      <c r="B577" s="215"/>
      <c r="C577" s="90"/>
      <c r="D577" s="73"/>
      <c r="E577" s="73"/>
      <c r="F577" s="66" t="s">
        <v>37</v>
      </c>
      <c r="G577" s="67">
        <f t="shared" ref="G577:O577" si="360">G576</f>
        <v>3727400</v>
      </c>
      <c r="H577" s="67">
        <f t="shared" si="360"/>
        <v>0</v>
      </c>
      <c r="I577" s="67">
        <f t="shared" si="360"/>
        <v>0</v>
      </c>
      <c r="J577" s="67">
        <f t="shared" si="360"/>
        <v>0</v>
      </c>
      <c r="K577" s="67">
        <f t="shared" si="360"/>
        <v>0</v>
      </c>
      <c r="L577" s="67">
        <f t="shared" si="360"/>
        <v>0</v>
      </c>
      <c r="M577" s="67">
        <f t="shared" si="360"/>
        <v>0</v>
      </c>
      <c r="N577" s="67">
        <f t="shared" si="360"/>
        <v>0</v>
      </c>
      <c r="O577" s="67">
        <f t="shared" si="360"/>
        <v>0</v>
      </c>
      <c r="P577" s="67">
        <f>P576</f>
        <v>0</v>
      </c>
      <c r="Q577" s="67">
        <f>3727400</f>
        <v>3727400</v>
      </c>
    </row>
    <row r="578" spans="1:17" ht="28" customHeight="1" x14ac:dyDescent="0.35">
      <c r="A578" s="214"/>
      <c r="B578" s="215"/>
      <c r="C578" s="60"/>
      <c r="D578" s="60">
        <v>0</v>
      </c>
      <c r="E578" s="72">
        <f>G579</f>
        <v>39915600</v>
      </c>
      <c r="F578" s="61" t="s">
        <v>40</v>
      </c>
      <c r="G578" s="60">
        <f t="shared" ref="G578:P578" si="361">G579</f>
        <v>39915600</v>
      </c>
      <c r="H578" s="60">
        <f t="shared" si="361"/>
        <v>0</v>
      </c>
      <c r="I578" s="60">
        <f t="shared" si="361"/>
        <v>0</v>
      </c>
      <c r="J578" s="60">
        <f t="shared" si="361"/>
        <v>0</v>
      </c>
      <c r="K578" s="60">
        <f t="shared" si="361"/>
        <v>0</v>
      </c>
      <c r="L578" s="60">
        <f t="shared" si="361"/>
        <v>0</v>
      </c>
      <c r="M578" s="60">
        <f t="shared" si="361"/>
        <v>0</v>
      </c>
      <c r="N578" s="60">
        <f t="shared" si="361"/>
        <v>0</v>
      </c>
      <c r="O578" s="60">
        <f t="shared" si="361"/>
        <v>0</v>
      </c>
      <c r="P578" s="60">
        <f t="shared" si="361"/>
        <v>0</v>
      </c>
      <c r="Q578" s="60">
        <f>Q579</f>
        <v>39915600</v>
      </c>
    </row>
    <row r="579" spans="1:17" ht="28" customHeight="1" x14ac:dyDescent="0.35">
      <c r="A579" s="214"/>
      <c r="B579" s="215"/>
      <c r="C579" s="90"/>
      <c r="D579" s="73"/>
      <c r="E579" s="73"/>
      <c r="F579" s="66" t="s">
        <v>42</v>
      </c>
      <c r="G579" s="74">
        <f>Q579</f>
        <v>39915600</v>
      </c>
      <c r="H579" s="74">
        <v>0</v>
      </c>
      <c r="I579" s="74">
        <v>0</v>
      </c>
      <c r="J579" s="74">
        <v>0</v>
      </c>
      <c r="K579" s="74">
        <v>0</v>
      </c>
      <c r="L579" s="74">
        <v>0</v>
      </c>
      <c r="M579" s="74">
        <v>0</v>
      </c>
      <c r="N579" s="74">
        <v>0</v>
      </c>
      <c r="O579" s="74">
        <v>0</v>
      </c>
      <c r="P579" s="74">
        <v>0</v>
      </c>
      <c r="Q579" s="74">
        <v>39915600</v>
      </c>
    </row>
    <row r="580" spans="1:17" ht="28" customHeight="1" x14ac:dyDescent="0.35">
      <c r="A580" s="214"/>
      <c r="B580" s="215"/>
      <c r="C580" s="60">
        <v>0</v>
      </c>
      <c r="D580" s="60">
        <v>0</v>
      </c>
      <c r="E580" s="72">
        <f>G582</f>
        <v>5000000</v>
      </c>
      <c r="F580" s="61" t="s">
        <v>321</v>
      </c>
      <c r="G580" s="60">
        <f>J580+M580+N580+Q580</f>
        <v>5000000</v>
      </c>
      <c r="H580" s="60">
        <f>K580+O580</f>
        <v>0</v>
      </c>
      <c r="I580" s="60">
        <f>L580+P580</f>
        <v>0</v>
      </c>
      <c r="J580" s="60">
        <f>K580+L580</f>
        <v>0</v>
      </c>
      <c r="K580" s="60">
        <v>0</v>
      </c>
      <c r="L580" s="60">
        <v>0</v>
      </c>
      <c r="M580" s="60">
        <v>0</v>
      </c>
      <c r="N580" s="60">
        <v>0</v>
      </c>
      <c r="O580" s="77">
        <v>0</v>
      </c>
      <c r="P580" s="77">
        <v>0</v>
      </c>
      <c r="Q580" s="60">
        <v>5000000</v>
      </c>
    </row>
    <row r="581" spans="1:17" ht="28" customHeight="1" x14ac:dyDescent="0.35">
      <c r="A581" s="214"/>
      <c r="B581" s="215"/>
      <c r="C581" s="90"/>
      <c r="D581" s="73"/>
      <c r="E581" s="73"/>
      <c r="F581" s="66" t="s">
        <v>322</v>
      </c>
      <c r="G581" s="67">
        <f t="shared" ref="G581:P581" si="362">G580-G582</f>
        <v>0</v>
      </c>
      <c r="H581" s="67">
        <f t="shared" si="362"/>
        <v>0</v>
      </c>
      <c r="I581" s="67">
        <f t="shared" si="362"/>
        <v>0</v>
      </c>
      <c r="J581" s="67">
        <f t="shared" si="362"/>
        <v>0</v>
      </c>
      <c r="K581" s="67">
        <f t="shared" si="362"/>
        <v>0</v>
      </c>
      <c r="L581" s="67">
        <f t="shared" si="362"/>
        <v>0</v>
      </c>
      <c r="M581" s="67">
        <f t="shared" si="362"/>
        <v>0</v>
      </c>
      <c r="N581" s="67">
        <f t="shared" si="362"/>
        <v>0</v>
      </c>
      <c r="O581" s="67">
        <f t="shared" si="362"/>
        <v>0</v>
      </c>
      <c r="P581" s="67">
        <f t="shared" si="362"/>
        <v>0</v>
      </c>
      <c r="Q581" s="67">
        <v>0</v>
      </c>
    </row>
    <row r="582" spans="1:17" ht="28" customHeight="1" x14ac:dyDescent="0.35">
      <c r="A582" s="214"/>
      <c r="B582" s="215"/>
      <c r="C582" s="90"/>
      <c r="D582" s="73"/>
      <c r="E582" s="73"/>
      <c r="F582" s="66" t="s">
        <v>338</v>
      </c>
      <c r="G582" s="74">
        <f>Q582</f>
        <v>5000000</v>
      </c>
      <c r="H582" s="74">
        <v>0</v>
      </c>
      <c r="I582" s="74">
        <v>0</v>
      </c>
      <c r="J582" s="74">
        <v>0</v>
      </c>
      <c r="K582" s="74">
        <v>0</v>
      </c>
      <c r="L582" s="74">
        <v>0</v>
      </c>
      <c r="M582" s="74">
        <v>0</v>
      </c>
      <c r="N582" s="74">
        <v>0</v>
      </c>
      <c r="O582" s="74">
        <v>0</v>
      </c>
      <c r="P582" s="74">
        <v>0</v>
      </c>
      <c r="Q582" s="74">
        <v>5000000</v>
      </c>
    </row>
    <row r="583" spans="1:17" ht="28" customHeight="1" x14ac:dyDescent="0.35">
      <c r="A583" s="214" t="s">
        <v>443</v>
      </c>
      <c r="B583" s="215" t="s">
        <v>444</v>
      </c>
      <c r="C583" s="56">
        <f>C586</f>
        <v>0</v>
      </c>
      <c r="D583" s="57">
        <f>D584+D586</f>
        <v>0</v>
      </c>
      <c r="E583" s="57">
        <f>E584+E586</f>
        <v>0</v>
      </c>
      <c r="F583" s="59" t="s">
        <v>445</v>
      </c>
      <c r="G583" s="58">
        <f>J583+M583+N583+Q583</f>
        <v>30490762</v>
      </c>
      <c r="H583" s="58">
        <f>K583+O583</f>
        <v>0</v>
      </c>
      <c r="I583" s="58">
        <f>L583+P583</f>
        <v>0</v>
      </c>
      <c r="J583" s="58">
        <f>J584+J586</f>
        <v>0</v>
      </c>
      <c r="K583" s="58">
        <f t="shared" ref="K583:P583" si="363">K584+K586</f>
        <v>0</v>
      </c>
      <c r="L583" s="58">
        <f t="shared" si="363"/>
        <v>0</v>
      </c>
      <c r="M583" s="58">
        <f t="shared" si="363"/>
        <v>0</v>
      </c>
      <c r="N583" s="58">
        <f t="shared" si="363"/>
        <v>0</v>
      </c>
      <c r="O583" s="58">
        <f t="shared" si="363"/>
        <v>0</v>
      </c>
      <c r="P583" s="58">
        <f t="shared" si="363"/>
        <v>0</v>
      </c>
      <c r="Q583" s="58">
        <f>Q584+Q586</f>
        <v>30490762</v>
      </c>
    </row>
    <row r="584" spans="1:17" ht="28" customHeight="1" x14ac:dyDescent="0.35">
      <c r="A584" s="214"/>
      <c r="B584" s="215"/>
      <c r="C584" s="60">
        <v>0</v>
      </c>
      <c r="D584" s="60">
        <v>0</v>
      </c>
      <c r="E584" s="60">
        <v>0</v>
      </c>
      <c r="F584" s="61" t="s">
        <v>40</v>
      </c>
      <c r="G584" s="60">
        <f>J584+M584+N584+Q584</f>
        <v>17327582</v>
      </c>
      <c r="H584" s="60">
        <f>K584+O584</f>
        <v>0</v>
      </c>
      <c r="I584" s="60">
        <f>L584+P584</f>
        <v>0</v>
      </c>
      <c r="J584" s="60">
        <f>K584+L584</f>
        <v>0</v>
      </c>
      <c r="K584" s="60">
        <v>0</v>
      </c>
      <c r="L584" s="60">
        <v>0</v>
      </c>
      <c r="M584" s="60">
        <v>0</v>
      </c>
      <c r="N584" s="60">
        <f>O584+P584</f>
        <v>0</v>
      </c>
      <c r="O584" s="77">
        <v>0</v>
      </c>
      <c r="P584" s="77">
        <v>0</v>
      </c>
      <c r="Q584" s="60">
        <f>Q585</f>
        <v>17327582</v>
      </c>
    </row>
    <row r="585" spans="1:17" ht="28" customHeight="1" x14ac:dyDescent="0.35">
      <c r="A585" s="214"/>
      <c r="B585" s="215"/>
      <c r="C585" s="16"/>
      <c r="D585" s="16"/>
      <c r="E585" s="16"/>
      <c r="F585" s="66" t="s">
        <v>41</v>
      </c>
      <c r="G585" s="67">
        <f>G584</f>
        <v>17327582</v>
      </c>
      <c r="H585" s="67">
        <f t="shared" ref="H585:P585" si="364">H584</f>
        <v>0</v>
      </c>
      <c r="I585" s="67">
        <f t="shared" si="364"/>
        <v>0</v>
      </c>
      <c r="J585" s="67">
        <f t="shared" si="364"/>
        <v>0</v>
      </c>
      <c r="K585" s="67">
        <f t="shared" si="364"/>
        <v>0</v>
      </c>
      <c r="L585" s="67">
        <f t="shared" si="364"/>
        <v>0</v>
      </c>
      <c r="M585" s="67">
        <f t="shared" si="364"/>
        <v>0</v>
      </c>
      <c r="N585" s="67">
        <f t="shared" si="364"/>
        <v>0</v>
      </c>
      <c r="O585" s="67">
        <f t="shared" si="364"/>
        <v>0</v>
      </c>
      <c r="P585" s="67">
        <f t="shared" si="364"/>
        <v>0</v>
      </c>
      <c r="Q585" s="67">
        <f>32299820-14972238</f>
        <v>17327582</v>
      </c>
    </row>
    <row r="586" spans="1:17" ht="28" customHeight="1" x14ac:dyDescent="0.35">
      <c r="A586" s="214"/>
      <c r="B586" s="215"/>
      <c r="C586" s="60">
        <v>0</v>
      </c>
      <c r="D586" s="60">
        <v>0</v>
      </c>
      <c r="E586" s="60">
        <v>0</v>
      </c>
      <c r="F586" s="61" t="s">
        <v>36</v>
      </c>
      <c r="G586" s="60">
        <f>J586+M586+N586+Q586</f>
        <v>13163180</v>
      </c>
      <c r="H586" s="60">
        <f>K586+O586</f>
        <v>0</v>
      </c>
      <c r="I586" s="60">
        <f>L586+P586</f>
        <v>0</v>
      </c>
      <c r="J586" s="60">
        <f>K586+L586</f>
        <v>0</v>
      </c>
      <c r="K586" s="60">
        <v>0</v>
      </c>
      <c r="L586" s="60">
        <v>0</v>
      </c>
      <c r="M586" s="60">
        <v>0</v>
      </c>
      <c r="N586" s="60">
        <f>O586+P586</f>
        <v>0</v>
      </c>
      <c r="O586" s="77">
        <v>0</v>
      </c>
      <c r="P586" s="77">
        <v>0</v>
      </c>
      <c r="Q586" s="60">
        <f>Q587</f>
        <v>13163180</v>
      </c>
    </row>
    <row r="587" spans="1:17" ht="28" customHeight="1" x14ac:dyDescent="0.35">
      <c r="A587" s="214"/>
      <c r="B587" s="215"/>
      <c r="C587" s="90"/>
      <c r="D587" s="73"/>
      <c r="E587" s="73"/>
      <c r="F587" s="66" t="s">
        <v>37</v>
      </c>
      <c r="G587" s="67">
        <f>G586</f>
        <v>13163180</v>
      </c>
      <c r="H587" s="67">
        <f t="shared" ref="H587:P587" si="365">H586</f>
        <v>0</v>
      </c>
      <c r="I587" s="67">
        <f t="shared" si="365"/>
        <v>0</v>
      </c>
      <c r="J587" s="67">
        <f t="shared" si="365"/>
        <v>0</v>
      </c>
      <c r="K587" s="67">
        <f t="shared" si="365"/>
        <v>0</v>
      </c>
      <c r="L587" s="67">
        <f t="shared" si="365"/>
        <v>0</v>
      </c>
      <c r="M587" s="67">
        <f t="shared" si="365"/>
        <v>0</v>
      </c>
      <c r="N587" s="67">
        <f t="shared" si="365"/>
        <v>0</v>
      </c>
      <c r="O587" s="67">
        <f t="shared" si="365"/>
        <v>0</v>
      </c>
      <c r="P587" s="67">
        <f t="shared" si="365"/>
        <v>0</v>
      </c>
      <c r="Q587" s="67">
        <f>13163180</f>
        <v>13163180</v>
      </c>
    </row>
    <row r="588" spans="1:17" ht="28" customHeight="1" x14ac:dyDescent="0.35">
      <c r="A588" s="214" t="s">
        <v>446</v>
      </c>
      <c r="B588" s="215" t="s">
        <v>447</v>
      </c>
      <c r="C588" s="56">
        <f>C589</f>
        <v>0</v>
      </c>
      <c r="D588" s="57">
        <f>D589</f>
        <v>0</v>
      </c>
      <c r="E588" s="58">
        <f>E589</f>
        <v>0</v>
      </c>
      <c r="F588" s="59" t="s">
        <v>448</v>
      </c>
      <c r="G588" s="58">
        <f>J588+M588+N588+Q588</f>
        <v>56964953</v>
      </c>
      <c r="H588" s="58">
        <f>K588+O588</f>
        <v>0</v>
      </c>
      <c r="I588" s="58">
        <f>L588+P588</f>
        <v>0</v>
      </c>
      <c r="J588" s="58">
        <f t="shared" ref="J588:P588" si="366">J589</f>
        <v>0</v>
      </c>
      <c r="K588" s="58">
        <f t="shared" si="366"/>
        <v>0</v>
      </c>
      <c r="L588" s="58">
        <f t="shared" si="366"/>
        <v>0</v>
      </c>
      <c r="M588" s="58">
        <f t="shared" si="366"/>
        <v>0</v>
      </c>
      <c r="N588" s="58">
        <f t="shared" si="366"/>
        <v>0</v>
      </c>
      <c r="O588" s="58">
        <f t="shared" si="366"/>
        <v>0</v>
      </c>
      <c r="P588" s="58">
        <f t="shared" si="366"/>
        <v>0</v>
      </c>
      <c r="Q588" s="58">
        <f>Q589</f>
        <v>56964953</v>
      </c>
    </row>
    <row r="589" spans="1:17" ht="28" customHeight="1" x14ac:dyDescent="0.35">
      <c r="A589" s="214"/>
      <c r="B589" s="215"/>
      <c r="C589" s="90"/>
      <c r="D589" s="19">
        <v>0</v>
      </c>
      <c r="E589" s="19">
        <v>0</v>
      </c>
      <c r="F589" s="61" t="s">
        <v>40</v>
      </c>
      <c r="G589" s="60">
        <f>J589+M589+N589+Q589</f>
        <v>56964953</v>
      </c>
      <c r="H589" s="60">
        <f>K589+O589</f>
        <v>0</v>
      </c>
      <c r="I589" s="60">
        <f>L589+P589</f>
        <v>0</v>
      </c>
      <c r="J589" s="60">
        <f>K589+L589</f>
        <v>0</v>
      </c>
      <c r="K589" s="60">
        <v>0</v>
      </c>
      <c r="L589" s="60">
        <v>0</v>
      </c>
      <c r="M589" s="60">
        <v>0</v>
      </c>
      <c r="N589" s="60">
        <f>O589+P589</f>
        <v>0</v>
      </c>
      <c r="O589" s="77">
        <v>0</v>
      </c>
      <c r="P589" s="77">
        <v>0</v>
      </c>
      <c r="Q589" s="60">
        <f>Q590</f>
        <v>56964953</v>
      </c>
    </row>
    <row r="590" spans="1:17" ht="28" customHeight="1" x14ac:dyDescent="0.35">
      <c r="A590" s="214"/>
      <c r="B590" s="215"/>
      <c r="C590" s="90"/>
      <c r="D590" s="73"/>
      <c r="E590" s="73"/>
      <c r="F590" s="66" t="s">
        <v>41</v>
      </c>
      <c r="G590" s="67">
        <f>G589</f>
        <v>56964953</v>
      </c>
      <c r="H590" s="67">
        <f t="shared" ref="H590:P590" si="367">H589</f>
        <v>0</v>
      </c>
      <c r="I590" s="67">
        <f t="shared" si="367"/>
        <v>0</v>
      </c>
      <c r="J590" s="67">
        <f t="shared" si="367"/>
        <v>0</v>
      </c>
      <c r="K590" s="67">
        <f t="shared" si="367"/>
        <v>0</v>
      </c>
      <c r="L590" s="67">
        <f t="shared" si="367"/>
        <v>0</v>
      </c>
      <c r="M590" s="67">
        <f t="shared" si="367"/>
        <v>0</v>
      </c>
      <c r="N590" s="67">
        <f t="shared" si="367"/>
        <v>0</v>
      </c>
      <c r="O590" s="67">
        <f t="shared" si="367"/>
        <v>0</v>
      </c>
      <c r="P590" s="67">
        <f t="shared" si="367"/>
        <v>0</v>
      </c>
      <c r="Q590" s="67">
        <f>36013000+20951953</f>
        <v>56964953</v>
      </c>
    </row>
    <row r="591" spans="1:17" ht="28" customHeight="1" x14ac:dyDescent="0.35">
      <c r="A591" s="222" t="s">
        <v>449</v>
      </c>
      <c r="B591" s="225" t="s">
        <v>746</v>
      </c>
      <c r="C591" s="56">
        <f>C592+C594+C596</f>
        <v>0</v>
      </c>
      <c r="D591" s="57">
        <f>D592+D594+D596</f>
        <v>0</v>
      </c>
      <c r="E591" s="58">
        <f>E592+E594+E596</f>
        <v>25500000</v>
      </c>
      <c r="F591" s="59" t="s">
        <v>450</v>
      </c>
      <c r="G591" s="58">
        <f>J591+M591+N591+Q591</f>
        <v>147955510</v>
      </c>
      <c r="H591" s="58">
        <f>K591+O591</f>
        <v>0</v>
      </c>
      <c r="I591" s="58">
        <f>L591+P591</f>
        <v>0</v>
      </c>
      <c r="J591" s="58">
        <f t="shared" ref="J591:Q591" si="368">J592+J594+J596</f>
        <v>0</v>
      </c>
      <c r="K591" s="58">
        <f t="shared" si="368"/>
        <v>0</v>
      </c>
      <c r="L591" s="58">
        <f t="shared" si="368"/>
        <v>0</v>
      </c>
      <c r="M591" s="58">
        <f t="shared" si="368"/>
        <v>0</v>
      </c>
      <c r="N591" s="58">
        <f t="shared" si="368"/>
        <v>0</v>
      </c>
      <c r="O591" s="58">
        <f t="shared" si="368"/>
        <v>0</v>
      </c>
      <c r="P591" s="58">
        <f t="shared" si="368"/>
        <v>0</v>
      </c>
      <c r="Q591" s="58">
        <f t="shared" si="368"/>
        <v>147955510</v>
      </c>
    </row>
    <row r="592" spans="1:17" ht="28" customHeight="1" x14ac:dyDescent="0.35">
      <c r="A592" s="223"/>
      <c r="B592" s="226"/>
      <c r="C592" s="60">
        <v>0</v>
      </c>
      <c r="D592" s="60">
        <v>0</v>
      </c>
      <c r="E592" s="60">
        <v>0</v>
      </c>
      <c r="F592" s="61" t="s">
        <v>36</v>
      </c>
      <c r="G592" s="60">
        <f>J592+M592+N592+Q592</f>
        <v>95070616</v>
      </c>
      <c r="H592" s="60">
        <f>K592+O592</f>
        <v>0</v>
      </c>
      <c r="I592" s="60">
        <f>L592+P592</f>
        <v>0</v>
      </c>
      <c r="J592" s="60">
        <f>K592+L592</f>
        <v>0</v>
      </c>
      <c r="K592" s="60">
        <v>0</v>
      </c>
      <c r="L592" s="60">
        <v>0</v>
      </c>
      <c r="M592" s="60">
        <v>0</v>
      </c>
      <c r="N592" s="60">
        <f>O592+P592</f>
        <v>0</v>
      </c>
      <c r="O592" s="77">
        <v>0</v>
      </c>
      <c r="P592" s="77">
        <v>0</v>
      </c>
      <c r="Q592" s="60">
        <f>Q593</f>
        <v>95070616</v>
      </c>
    </row>
    <row r="593" spans="1:17" ht="28" customHeight="1" x14ac:dyDescent="0.35">
      <c r="A593" s="223"/>
      <c r="B593" s="226"/>
      <c r="C593" s="90"/>
      <c r="D593" s="73"/>
      <c r="E593" s="73"/>
      <c r="F593" s="66" t="s">
        <v>37</v>
      </c>
      <c r="G593" s="67">
        <f>H593+I593+M593+Q593</f>
        <v>95070616</v>
      </c>
      <c r="H593" s="67">
        <v>0</v>
      </c>
      <c r="I593" s="67">
        <v>0</v>
      </c>
      <c r="J593" s="67">
        <v>0</v>
      </c>
      <c r="K593" s="67">
        <v>0</v>
      </c>
      <c r="L593" s="67">
        <v>0</v>
      </c>
      <c r="M593" s="67">
        <v>0</v>
      </c>
      <c r="N593" s="67">
        <v>0</v>
      </c>
      <c r="O593" s="67">
        <v>0</v>
      </c>
      <c r="P593" s="67">
        <v>0</v>
      </c>
      <c r="Q593" s="67">
        <f>94979531+2591085-2500000</f>
        <v>95070616</v>
      </c>
    </row>
    <row r="594" spans="1:17" ht="28" customHeight="1" x14ac:dyDescent="0.35">
      <c r="A594" s="223"/>
      <c r="B594" s="226"/>
      <c r="C594" s="60">
        <v>0</v>
      </c>
      <c r="D594" s="60">
        <v>0</v>
      </c>
      <c r="E594" s="60">
        <v>0</v>
      </c>
      <c r="F594" s="61" t="s">
        <v>150</v>
      </c>
      <c r="G594" s="60">
        <f>J594+M594+N594+Q594</f>
        <v>0</v>
      </c>
      <c r="H594" s="60">
        <f>K594+O594</f>
        <v>0</v>
      </c>
      <c r="I594" s="60">
        <f>L594+P594</f>
        <v>0</v>
      </c>
      <c r="J594" s="60">
        <f>K594+L594</f>
        <v>0</v>
      </c>
      <c r="K594" s="60">
        <v>0</v>
      </c>
      <c r="L594" s="60">
        <v>0</v>
      </c>
      <c r="M594" s="60">
        <v>0</v>
      </c>
      <c r="N594" s="60">
        <f>O594+P594</f>
        <v>0</v>
      </c>
      <c r="O594" s="77">
        <v>0</v>
      </c>
      <c r="P594" s="77">
        <v>0</v>
      </c>
      <c r="Q594" s="60">
        <f>Q595</f>
        <v>0</v>
      </c>
    </row>
    <row r="595" spans="1:17" ht="28" customHeight="1" x14ac:dyDescent="0.35">
      <c r="A595" s="223"/>
      <c r="B595" s="226"/>
      <c r="C595" s="90"/>
      <c r="D595" s="73"/>
      <c r="E595" s="73"/>
      <c r="F595" s="66" t="s">
        <v>151</v>
      </c>
      <c r="G595" s="67">
        <f>G594</f>
        <v>0</v>
      </c>
      <c r="H595" s="67">
        <f t="shared" ref="H595:P597" si="369">H594</f>
        <v>0</v>
      </c>
      <c r="I595" s="67">
        <f t="shared" si="369"/>
        <v>0</v>
      </c>
      <c r="J595" s="67">
        <f t="shared" si="369"/>
        <v>0</v>
      </c>
      <c r="K595" s="67">
        <f t="shared" si="369"/>
        <v>0</v>
      </c>
      <c r="L595" s="67">
        <f t="shared" si="369"/>
        <v>0</v>
      </c>
      <c r="M595" s="67">
        <f t="shared" si="369"/>
        <v>0</v>
      </c>
      <c r="N595" s="67">
        <f t="shared" si="369"/>
        <v>0</v>
      </c>
      <c r="O595" s="67">
        <f t="shared" si="369"/>
        <v>0</v>
      </c>
      <c r="P595" s="67">
        <f t="shared" si="369"/>
        <v>0</v>
      </c>
      <c r="Q595" s="67">
        <f>10556693-10556693</f>
        <v>0</v>
      </c>
    </row>
    <row r="596" spans="1:17" ht="28" customHeight="1" x14ac:dyDescent="0.35">
      <c r="A596" s="223"/>
      <c r="B596" s="226"/>
      <c r="C596" s="60">
        <v>0</v>
      </c>
      <c r="D596" s="60">
        <v>0</v>
      </c>
      <c r="E596" s="72">
        <f>G598</f>
        <v>25500000</v>
      </c>
      <c r="F596" s="61" t="s">
        <v>107</v>
      </c>
      <c r="G596" s="60">
        <f>G597+G598</f>
        <v>52884894</v>
      </c>
      <c r="H596" s="60">
        <f>K596+O596</f>
        <v>0</v>
      </c>
      <c r="I596" s="60">
        <f>L596+P596</f>
        <v>0</v>
      </c>
      <c r="J596" s="60">
        <f>K596+L596</f>
        <v>0</v>
      </c>
      <c r="K596" s="60">
        <v>0</v>
      </c>
      <c r="L596" s="60">
        <v>0</v>
      </c>
      <c r="M596" s="60">
        <v>0</v>
      </c>
      <c r="N596" s="60">
        <f>O596+P596</f>
        <v>0</v>
      </c>
      <c r="O596" s="77">
        <v>0</v>
      </c>
      <c r="P596" s="77">
        <v>0</v>
      </c>
      <c r="Q596" s="60">
        <f>Q597+Q598</f>
        <v>52884894</v>
      </c>
    </row>
    <row r="597" spans="1:17" ht="28" customHeight="1" x14ac:dyDescent="0.35">
      <c r="A597" s="223"/>
      <c r="B597" s="226"/>
      <c r="C597" s="90"/>
      <c r="D597" s="73"/>
      <c r="E597" s="73"/>
      <c r="F597" s="66" t="s">
        <v>108</v>
      </c>
      <c r="G597" s="67">
        <f>H597+I597+M597+Q597</f>
        <v>27384894</v>
      </c>
      <c r="H597" s="67">
        <f t="shared" si="369"/>
        <v>0</v>
      </c>
      <c r="I597" s="67">
        <f t="shared" si="369"/>
        <v>0</v>
      </c>
      <c r="J597" s="67">
        <f t="shared" si="369"/>
        <v>0</v>
      </c>
      <c r="K597" s="67">
        <f t="shared" si="369"/>
        <v>0</v>
      </c>
      <c r="L597" s="67">
        <f t="shared" si="369"/>
        <v>0</v>
      </c>
      <c r="M597" s="67">
        <f t="shared" si="369"/>
        <v>0</v>
      </c>
      <c r="N597" s="67">
        <f t="shared" si="369"/>
        <v>0</v>
      </c>
      <c r="O597" s="67">
        <f t="shared" si="369"/>
        <v>0</v>
      </c>
      <c r="P597" s="67">
        <f t="shared" si="369"/>
        <v>0</v>
      </c>
      <c r="Q597" s="67">
        <f>16828201+10556693</f>
        <v>27384894</v>
      </c>
    </row>
    <row r="598" spans="1:17" ht="28" customHeight="1" x14ac:dyDescent="0.35">
      <c r="A598" s="224"/>
      <c r="B598" s="227"/>
      <c r="C598" s="90"/>
      <c r="D598" s="73"/>
      <c r="E598" s="73"/>
      <c r="F598" s="66" t="s">
        <v>109</v>
      </c>
      <c r="G598" s="74">
        <f>H598+I598+M598+Q598</f>
        <v>25500000</v>
      </c>
      <c r="H598" s="74">
        <v>0</v>
      </c>
      <c r="I598" s="74">
        <v>0</v>
      </c>
      <c r="J598" s="74">
        <v>0</v>
      </c>
      <c r="K598" s="74">
        <v>0</v>
      </c>
      <c r="L598" s="74">
        <v>0</v>
      </c>
      <c r="M598" s="74">
        <v>0</v>
      </c>
      <c r="N598" s="74">
        <v>0</v>
      </c>
      <c r="O598" s="74">
        <v>0</v>
      </c>
      <c r="P598" s="74">
        <v>0</v>
      </c>
      <c r="Q598" s="74">
        <f>25500000</f>
        <v>25500000</v>
      </c>
    </row>
    <row r="599" spans="1:17" ht="28" customHeight="1" x14ac:dyDescent="0.35">
      <c r="A599" s="214" t="s">
        <v>451</v>
      </c>
      <c r="B599" s="215" t="s">
        <v>452</v>
      </c>
      <c r="C599" s="56">
        <f>C600</f>
        <v>0</v>
      </c>
      <c r="D599" s="57">
        <f>D600+D602</f>
        <v>0</v>
      </c>
      <c r="E599" s="57">
        <f>E600+E602</f>
        <v>0</v>
      </c>
      <c r="F599" s="59" t="s">
        <v>453</v>
      </c>
      <c r="G599" s="58">
        <f>J599+M599+N599+Q599</f>
        <v>22333285</v>
      </c>
      <c r="H599" s="58">
        <f>K599+O599</f>
        <v>0</v>
      </c>
      <c r="I599" s="58">
        <f>L599+P599</f>
        <v>0</v>
      </c>
      <c r="J599" s="58">
        <f t="shared" ref="J599:P599" si="370">J600+J602</f>
        <v>0</v>
      </c>
      <c r="K599" s="58">
        <f t="shared" si="370"/>
        <v>0</v>
      </c>
      <c r="L599" s="58">
        <f t="shared" si="370"/>
        <v>0</v>
      </c>
      <c r="M599" s="58">
        <f t="shared" si="370"/>
        <v>0</v>
      </c>
      <c r="N599" s="58">
        <f t="shared" si="370"/>
        <v>0</v>
      </c>
      <c r="O599" s="58">
        <f t="shared" si="370"/>
        <v>0</v>
      </c>
      <c r="P599" s="58">
        <f t="shared" si="370"/>
        <v>0</v>
      </c>
      <c r="Q599" s="58">
        <f>Q600+Q602</f>
        <v>22333285</v>
      </c>
    </row>
    <row r="600" spans="1:17" ht="28" customHeight="1" x14ac:dyDescent="0.35">
      <c r="A600" s="214"/>
      <c r="B600" s="215"/>
      <c r="C600" s="60">
        <v>0</v>
      </c>
      <c r="D600" s="60">
        <v>0</v>
      </c>
      <c r="E600" s="60">
        <v>0</v>
      </c>
      <c r="F600" s="61" t="s">
        <v>40</v>
      </c>
      <c r="G600" s="60">
        <f>J600+M600+N600+Q600</f>
        <v>17333285</v>
      </c>
      <c r="H600" s="60">
        <f>K600+O600</f>
        <v>0</v>
      </c>
      <c r="I600" s="60">
        <f>L600+P600</f>
        <v>0</v>
      </c>
      <c r="J600" s="60">
        <f>K600+L600</f>
        <v>0</v>
      </c>
      <c r="K600" s="60">
        <v>0</v>
      </c>
      <c r="L600" s="60">
        <v>0</v>
      </c>
      <c r="M600" s="60">
        <v>0</v>
      </c>
      <c r="N600" s="60">
        <f>O600+P600</f>
        <v>0</v>
      </c>
      <c r="O600" s="77">
        <v>0</v>
      </c>
      <c r="P600" s="77">
        <v>0</v>
      </c>
      <c r="Q600" s="60">
        <f>Q601</f>
        <v>17333285</v>
      </c>
    </row>
    <row r="601" spans="1:17" ht="28" customHeight="1" x14ac:dyDescent="0.35">
      <c r="A601" s="214"/>
      <c r="B601" s="215"/>
      <c r="C601" s="90"/>
      <c r="D601" s="73"/>
      <c r="E601" s="73"/>
      <c r="F601" s="66" t="s">
        <v>41</v>
      </c>
      <c r="G601" s="67">
        <f>G600</f>
        <v>17333285</v>
      </c>
      <c r="H601" s="67">
        <f t="shared" ref="H601:P601" si="371">H600</f>
        <v>0</v>
      </c>
      <c r="I601" s="67">
        <f t="shared" si="371"/>
        <v>0</v>
      </c>
      <c r="J601" s="67">
        <f t="shared" si="371"/>
        <v>0</v>
      </c>
      <c r="K601" s="67">
        <f t="shared" si="371"/>
        <v>0</v>
      </c>
      <c r="L601" s="67">
        <f t="shared" si="371"/>
        <v>0</v>
      </c>
      <c r="M601" s="67">
        <f t="shared" si="371"/>
        <v>0</v>
      </c>
      <c r="N601" s="67">
        <f t="shared" si="371"/>
        <v>0</v>
      </c>
      <c r="O601" s="67">
        <f t="shared" si="371"/>
        <v>0</v>
      </c>
      <c r="P601" s="67">
        <f t="shared" si="371"/>
        <v>0</v>
      </c>
      <c r="Q601" s="67">
        <f>23313000-5979715</f>
        <v>17333285</v>
      </c>
    </row>
    <row r="602" spans="1:17" ht="28" customHeight="1" x14ac:dyDescent="0.35">
      <c r="A602" s="214"/>
      <c r="B602" s="215"/>
      <c r="C602" s="60">
        <v>0</v>
      </c>
      <c r="D602" s="60">
        <v>0</v>
      </c>
      <c r="E602" s="60">
        <v>0</v>
      </c>
      <c r="F602" s="61" t="s">
        <v>36</v>
      </c>
      <c r="G602" s="60">
        <f>J602+M602+N602+Q602</f>
        <v>5000000</v>
      </c>
      <c r="H602" s="60">
        <f>K602+O602</f>
        <v>0</v>
      </c>
      <c r="I602" s="60">
        <f>L602+P602</f>
        <v>0</v>
      </c>
      <c r="J602" s="60">
        <f>K602+L602</f>
        <v>0</v>
      </c>
      <c r="K602" s="60">
        <v>0</v>
      </c>
      <c r="L602" s="60">
        <v>0</v>
      </c>
      <c r="M602" s="60">
        <v>0</v>
      </c>
      <c r="N602" s="60">
        <f>O602+P602</f>
        <v>0</v>
      </c>
      <c r="O602" s="77">
        <v>0</v>
      </c>
      <c r="P602" s="77">
        <v>0</v>
      </c>
      <c r="Q602" s="60">
        <f>Q603</f>
        <v>5000000</v>
      </c>
    </row>
    <row r="603" spans="1:17" ht="28" customHeight="1" x14ac:dyDescent="0.35">
      <c r="A603" s="214"/>
      <c r="B603" s="215"/>
      <c r="C603" s="90"/>
      <c r="D603" s="73"/>
      <c r="E603" s="73"/>
      <c r="F603" s="66" t="s">
        <v>37</v>
      </c>
      <c r="G603" s="67">
        <f>G602</f>
        <v>5000000</v>
      </c>
      <c r="H603" s="67">
        <f t="shared" ref="H603:P603" si="372">H602</f>
        <v>0</v>
      </c>
      <c r="I603" s="67">
        <f t="shared" si="372"/>
        <v>0</v>
      </c>
      <c r="J603" s="67">
        <f t="shared" si="372"/>
        <v>0</v>
      </c>
      <c r="K603" s="67">
        <f t="shared" si="372"/>
        <v>0</v>
      </c>
      <c r="L603" s="67">
        <f t="shared" si="372"/>
        <v>0</v>
      </c>
      <c r="M603" s="67">
        <f t="shared" si="372"/>
        <v>0</v>
      </c>
      <c r="N603" s="67">
        <f t="shared" si="372"/>
        <v>0</v>
      </c>
      <c r="O603" s="67">
        <f t="shared" si="372"/>
        <v>0</v>
      </c>
      <c r="P603" s="67">
        <f t="shared" si="372"/>
        <v>0</v>
      </c>
      <c r="Q603" s="67">
        <v>5000000</v>
      </c>
    </row>
    <row r="604" spans="1:17" ht="28" customHeight="1" x14ac:dyDescent="0.35">
      <c r="A604" s="214" t="s">
        <v>454</v>
      </c>
      <c r="B604" s="215" t="s">
        <v>455</v>
      </c>
      <c r="C604" s="56">
        <f>C605</f>
        <v>0</v>
      </c>
      <c r="D604" s="57">
        <f>D605</f>
        <v>0</v>
      </c>
      <c r="E604" s="58">
        <f>E605</f>
        <v>0</v>
      </c>
      <c r="F604" s="59" t="s">
        <v>456</v>
      </c>
      <c r="G604" s="58">
        <f>J604+M604+N604+Q604</f>
        <v>36267915</v>
      </c>
      <c r="H604" s="58">
        <f>K604+O604</f>
        <v>0</v>
      </c>
      <c r="I604" s="58">
        <f>L604+P604</f>
        <v>0</v>
      </c>
      <c r="J604" s="58">
        <f t="shared" ref="J604:P604" si="373">J605</f>
        <v>0</v>
      </c>
      <c r="K604" s="58">
        <f t="shared" si="373"/>
        <v>0</v>
      </c>
      <c r="L604" s="58">
        <f t="shared" si="373"/>
        <v>0</v>
      </c>
      <c r="M604" s="58">
        <f t="shared" si="373"/>
        <v>0</v>
      </c>
      <c r="N604" s="58">
        <f t="shared" si="373"/>
        <v>0</v>
      </c>
      <c r="O604" s="58">
        <f t="shared" si="373"/>
        <v>0</v>
      </c>
      <c r="P604" s="58">
        <f t="shared" si="373"/>
        <v>0</v>
      </c>
      <c r="Q604" s="58">
        <f>Q605</f>
        <v>36267915</v>
      </c>
    </row>
    <row r="605" spans="1:17" ht="28" customHeight="1" x14ac:dyDescent="0.35">
      <c r="A605" s="214"/>
      <c r="B605" s="215"/>
      <c r="C605" s="60">
        <v>0</v>
      </c>
      <c r="D605" s="60">
        <v>0</v>
      </c>
      <c r="E605" s="60">
        <v>0</v>
      </c>
      <c r="F605" s="61" t="s">
        <v>36</v>
      </c>
      <c r="G605" s="60">
        <f>J605+M605+N605+Q605</f>
        <v>36267915</v>
      </c>
      <c r="H605" s="60">
        <f>K605+O605</f>
        <v>0</v>
      </c>
      <c r="I605" s="60">
        <f>L605+P605</f>
        <v>0</v>
      </c>
      <c r="J605" s="60">
        <f>K605+L605</f>
        <v>0</v>
      </c>
      <c r="K605" s="60">
        <v>0</v>
      </c>
      <c r="L605" s="60">
        <v>0</v>
      </c>
      <c r="M605" s="60">
        <v>0</v>
      </c>
      <c r="N605" s="60">
        <f>O605+P605</f>
        <v>0</v>
      </c>
      <c r="O605" s="77">
        <v>0</v>
      </c>
      <c r="P605" s="77">
        <v>0</v>
      </c>
      <c r="Q605" s="60">
        <f>Q606</f>
        <v>36267915</v>
      </c>
    </row>
    <row r="606" spans="1:17" ht="28" customHeight="1" x14ac:dyDescent="0.35">
      <c r="A606" s="214"/>
      <c r="B606" s="215"/>
      <c r="C606" s="90"/>
      <c r="D606" s="73"/>
      <c r="E606" s="73"/>
      <c r="F606" s="66" t="s">
        <v>37</v>
      </c>
      <c r="G606" s="67">
        <f>G605</f>
        <v>36267915</v>
      </c>
      <c r="H606" s="67">
        <f t="shared" ref="H606:P606" si="374">H605</f>
        <v>0</v>
      </c>
      <c r="I606" s="67">
        <f t="shared" si="374"/>
        <v>0</v>
      </c>
      <c r="J606" s="67">
        <f t="shared" si="374"/>
        <v>0</v>
      </c>
      <c r="K606" s="67">
        <f t="shared" si="374"/>
        <v>0</v>
      </c>
      <c r="L606" s="67">
        <f t="shared" si="374"/>
        <v>0</v>
      </c>
      <c r="M606" s="67">
        <f t="shared" si="374"/>
        <v>0</v>
      </c>
      <c r="N606" s="67">
        <f t="shared" si="374"/>
        <v>0</v>
      </c>
      <c r="O606" s="67">
        <f t="shared" si="374"/>
        <v>0</v>
      </c>
      <c r="P606" s="67">
        <f t="shared" si="374"/>
        <v>0</v>
      </c>
      <c r="Q606" s="67">
        <f>38859000- 2591085</f>
        <v>36267915</v>
      </c>
    </row>
    <row r="607" spans="1:17" ht="28" customHeight="1" x14ac:dyDescent="0.35">
      <c r="A607" s="214" t="s">
        <v>457</v>
      </c>
      <c r="B607" s="215" t="s">
        <v>458</v>
      </c>
      <c r="C607" s="56">
        <f>C608+C610</f>
        <v>0</v>
      </c>
      <c r="D607" s="57">
        <f>D608+D610</f>
        <v>0</v>
      </c>
      <c r="E607" s="58">
        <f>E608+E610</f>
        <v>0</v>
      </c>
      <c r="F607" s="59" t="s">
        <v>459</v>
      </c>
      <c r="G607" s="58">
        <f>J607+M607+N607+Q607</f>
        <v>90002817</v>
      </c>
      <c r="H607" s="58">
        <f>K607+O607</f>
        <v>0</v>
      </c>
      <c r="I607" s="58">
        <f>L607+P607</f>
        <v>0</v>
      </c>
      <c r="J607" s="58">
        <f t="shared" ref="J607:P607" si="375">J608+J610</f>
        <v>0</v>
      </c>
      <c r="K607" s="58">
        <f t="shared" si="375"/>
        <v>0</v>
      </c>
      <c r="L607" s="58">
        <f t="shared" si="375"/>
        <v>0</v>
      </c>
      <c r="M607" s="58">
        <f t="shared" si="375"/>
        <v>0</v>
      </c>
      <c r="N607" s="58">
        <f t="shared" si="375"/>
        <v>0</v>
      </c>
      <c r="O607" s="58">
        <f t="shared" si="375"/>
        <v>0</v>
      </c>
      <c r="P607" s="58">
        <f t="shared" si="375"/>
        <v>0</v>
      </c>
      <c r="Q607" s="58">
        <f>Q608+Q610</f>
        <v>90002817</v>
      </c>
    </row>
    <row r="608" spans="1:17" ht="28" customHeight="1" x14ac:dyDescent="0.35">
      <c r="A608" s="214"/>
      <c r="B608" s="215"/>
      <c r="C608" s="60">
        <v>0</v>
      </c>
      <c r="D608" s="60">
        <v>0</v>
      </c>
      <c r="E608" s="60">
        <v>0</v>
      </c>
      <c r="F608" s="61" t="s">
        <v>36</v>
      </c>
      <c r="G608" s="60">
        <f>J608+M608+N608+Q608</f>
        <v>65464507</v>
      </c>
      <c r="H608" s="60">
        <f>K608+O608</f>
        <v>0</v>
      </c>
      <c r="I608" s="60">
        <f>L608+P608</f>
        <v>0</v>
      </c>
      <c r="J608" s="60">
        <f>K608+L608</f>
        <v>0</v>
      </c>
      <c r="K608" s="60">
        <v>0</v>
      </c>
      <c r="L608" s="60">
        <v>0</v>
      </c>
      <c r="M608" s="60">
        <v>0</v>
      </c>
      <c r="N608" s="60">
        <f>O608+P608</f>
        <v>0</v>
      </c>
      <c r="O608" s="77">
        <v>0</v>
      </c>
      <c r="P608" s="77">
        <v>0</v>
      </c>
      <c r="Q608" s="60">
        <f>Q609</f>
        <v>65464507</v>
      </c>
    </row>
    <row r="609" spans="1:17" ht="28" customHeight="1" x14ac:dyDescent="0.35">
      <c r="A609" s="214"/>
      <c r="B609" s="215"/>
      <c r="C609" s="90"/>
      <c r="D609" s="73"/>
      <c r="E609" s="73"/>
      <c r="F609" s="66" t="s">
        <v>37</v>
      </c>
      <c r="G609" s="67">
        <f>G608</f>
        <v>65464507</v>
      </c>
      <c r="H609" s="67">
        <f t="shared" ref="H609:P609" si="376">H608</f>
        <v>0</v>
      </c>
      <c r="I609" s="67">
        <f t="shared" si="376"/>
        <v>0</v>
      </c>
      <c r="J609" s="67">
        <f t="shared" si="376"/>
        <v>0</v>
      </c>
      <c r="K609" s="67">
        <f t="shared" si="376"/>
        <v>0</v>
      </c>
      <c r="L609" s="67">
        <f t="shared" si="376"/>
        <v>0</v>
      </c>
      <c r="M609" s="67">
        <f t="shared" si="376"/>
        <v>0</v>
      </c>
      <c r="N609" s="67">
        <f t="shared" si="376"/>
        <v>0</v>
      </c>
      <c r="O609" s="67">
        <f t="shared" si="376"/>
        <v>0</v>
      </c>
      <c r="P609" s="67">
        <f t="shared" si="376"/>
        <v>0</v>
      </c>
      <c r="Q609" s="67">
        <f>68464507-3000000</f>
        <v>65464507</v>
      </c>
    </row>
    <row r="610" spans="1:17" ht="28" customHeight="1" x14ac:dyDescent="0.35">
      <c r="A610" s="214"/>
      <c r="B610" s="215"/>
      <c r="C610" s="60">
        <v>0</v>
      </c>
      <c r="D610" s="60">
        <v>0</v>
      </c>
      <c r="E610" s="60">
        <v>0</v>
      </c>
      <c r="F610" s="61" t="s">
        <v>321</v>
      </c>
      <c r="G610" s="60">
        <f>J610+M610+N610+Q610</f>
        <v>24538310</v>
      </c>
      <c r="H610" s="60">
        <f>K610+O610</f>
        <v>0</v>
      </c>
      <c r="I610" s="60">
        <f>L610+P610</f>
        <v>0</v>
      </c>
      <c r="J610" s="60">
        <f>K610+L610</f>
        <v>0</v>
      </c>
      <c r="K610" s="60">
        <v>0</v>
      </c>
      <c r="L610" s="60">
        <v>0</v>
      </c>
      <c r="M610" s="60">
        <v>0</v>
      </c>
      <c r="N610" s="60">
        <f>O610+P610</f>
        <v>0</v>
      </c>
      <c r="O610" s="77">
        <v>0</v>
      </c>
      <c r="P610" s="77">
        <v>0</v>
      </c>
      <c r="Q610" s="60">
        <f>Q611</f>
        <v>24538310</v>
      </c>
    </row>
    <row r="611" spans="1:17" ht="28" customHeight="1" x14ac:dyDescent="0.35">
      <c r="A611" s="214"/>
      <c r="B611" s="215"/>
      <c r="C611" s="90"/>
      <c r="D611" s="73"/>
      <c r="E611" s="73"/>
      <c r="F611" s="66" t="s">
        <v>322</v>
      </c>
      <c r="G611" s="67">
        <f>G610</f>
        <v>24538310</v>
      </c>
      <c r="H611" s="67">
        <f t="shared" ref="H611:P611" si="377">H610</f>
        <v>0</v>
      </c>
      <c r="I611" s="67">
        <f t="shared" si="377"/>
        <v>0</v>
      </c>
      <c r="J611" s="67">
        <f t="shared" si="377"/>
        <v>0</v>
      </c>
      <c r="K611" s="67">
        <f t="shared" si="377"/>
        <v>0</v>
      </c>
      <c r="L611" s="67">
        <f t="shared" si="377"/>
        <v>0</v>
      </c>
      <c r="M611" s="67">
        <f t="shared" si="377"/>
        <v>0</v>
      </c>
      <c r="N611" s="67">
        <f t="shared" si="377"/>
        <v>0</v>
      </c>
      <c r="O611" s="67">
        <f t="shared" si="377"/>
        <v>0</v>
      </c>
      <c r="P611" s="67">
        <f t="shared" si="377"/>
        <v>0</v>
      </c>
      <c r="Q611" s="67">
        <v>24538310</v>
      </c>
    </row>
    <row r="612" spans="1:17" ht="28" customHeight="1" x14ac:dyDescent="0.35">
      <c r="A612" s="214" t="s">
        <v>460</v>
      </c>
      <c r="B612" s="215" t="s">
        <v>461</v>
      </c>
      <c r="C612" s="56">
        <f>C613</f>
        <v>0</v>
      </c>
      <c r="D612" s="57">
        <f>D613</f>
        <v>0</v>
      </c>
      <c r="E612" s="58">
        <f>E613</f>
        <v>0</v>
      </c>
      <c r="F612" s="59" t="s">
        <v>462</v>
      </c>
      <c r="G612" s="58">
        <f>J612+M612+N612+Q612</f>
        <v>2500000</v>
      </c>
      <c r="H612" s="58">
        <f>K612+O612</f>
        <v>0</v>
      </c>
      <c r="I612" s="58">
        <f>L612+P612</f>
        <v>0</v>
      </c>
      <c r="J612" s="58">
        <f t="shared" ref="J612:P612" si="378">J613</f>
        <v>0</v>
      </c>
      <c r="K612" s="58">
        <f t="shared" si="378"/>
        <v>0</v>
      </c>
      <c r="L612" s="58">
        <f t="shared" si="378"/>
        <v>0</v>
      </c>
      <c r="M612" s="58">
        <f t="shared" si="378"/>
        <v>0</v>
      </c>
      <c r="N612" s="58">
        <f t="shared" si="378"/>
        <v>0</v>
      </c>
      <c r="O612" s="58">
        <f t="shared" si="378"/>
        <v>0</v>
      </c>
      <c r="P612" s="58">
        <f t="shared" si="378"/>
        <v>0</v>
      </c>
      <c r="Q612" s="58">
        <f>Q613</f>
        <v>2500000</v>
      </c>
    </row>
    <row r="613" spans="1:17" ht="28" customHeight="1" x14ac:dyDescent="0.35">
      <c r="A613" s="214"/>
      <c r="B613" s="215"/>
      <c r="C613" s="60">
        <v>0</v>
      </c>
      <c r="D613" s="60">
        <v>0</v>
      </c>
      <c r="E613" s="60">
        <v>0</v>
      </c>
      <c r="F613" s="61" t="s">
        <v>36</v>
      </c>
      <c r="G613" s="60">
        <f>J613+M613+N613+Q613</f>
        <v>2500000</v>
      </c>
      <c r="H613" s="60">
        <f>K613+O613</f>
        <v>0</v>
      </c>
      <c r="I613" s="60">
        <f>L613+P613</f>
        <v>0</v>
      </c>
      <c r="J613" s="60">
        <f>K613+L613</f>
        <v>0</v>
      </c>
      <c r="K613" s="60">
        <v>0</v>
      </c>
      <c r="L613" s="60">
        <v>0</v>
      </c>
      <c r="M613" s="60">
        <v>0</v>
      </c>
      <c r="N613" s="60">
        <f>O613+P613</f>
        <v>0</v>
      </c>
      <c r="O613" s="77">
        <v>0</v>
      </c>
      <c r="P613" s="77">
        <v>0</v>
      </c>
      <c r="Q613" s="60">
        <f>Q614</f>
        <v>2500000</v>
      </c>
    </row>
    <row r="614" spans="1:17" ht="28" customHeight="1" x14ac:dyDescent="0.35">
      <c r="A614" s="214"/>
      <c r="B614" s="215"/>
      <c r="C614" s="90"/>
      <c r="D614" s="73"/>
      <c r="E614" s="73"/>
      <c r="F614" s="66" t="s">
        <v>37</v>
      </c>
      <c r="G614" s="67">
        <f>G613</f>
        <v>2500000</v>
      </c>
      <c r="H614" s="67">
        <f>H613</f>
        <v>0</v>
      </c>
      <c r="I614" s="67">
        <f>I613</f>
        <v>0</v>
      </c>
      <c r="J614" s="67">
        <f t="shared" ref="J614:P614" si="379">J613</f>
        <v>0</v>
      </c>
      <c r="K614" s="67">
        <f t="shared" si="379"/>
        <v>0</v>
      </c>
      <c r="L614" s="67">
        <f t="shared" si="379"/>
        <v>0</v>
      </c>
      <c r="M614" s="67">
        <f t="shared" si="379"/>
        <v>0</v>
      </c>
      <c r="N614" s="67">
        <f t="shared" si="379"/>
        <v>0</v>
      </c>
      <c r="O614" s="67">
        <f t="shared" si="379"/>
        <v>0</v>
      </c>
      <c r="P614" s="67">
        <f t="shared" si="379"/>
        <v>0</v>
      </c>
      <c r="Q614" s="67">
        <f>2500000</f>
        <v>2500000</v>
      </c>
    </row>
    <row r="615" spans="1:17" ht="28" customHeight="1" x14ac:dyDescent="0.35">
      <c r="A615" s="45" t="s">
        <v>790</v>
      </c>
      <c r="B615" s="46" t="s">
        <v>789</v>
      </c>
      <c r="C615" s="47">
        <f t="shared" ref="C615:E615" si="380">C616</f>
        <v>0</v>
      </c>
      <c r="D615" s="47">
        <f t="shared" si="380"/>
        <v>0</v>
      </c>
      <c r="E615" s="48">
        <f t="shared" si="380"/>
        <v>5500000</v>
      </c>
      <c r="F615" s="49"/>
      <c r="G615" s="48">
        <f t="shared" ref="G615:Q615" si="381">G616</f>
        <v>5500000</v>
      </c>
      <c r="H615" s="48">
        <f t="shared" ref="H615:I616" si="382">K615+O615</f>
        <v>0</v>
      </c>
      <c r="I615" s="48">
        <f t="shared" si="382"/>
        <v>0</v>
      </c>
      <c r="J615" s="48">
        <f t="shared" si="381"/>
        <v>0</v>
      </c>
      <c r="K615" s="48">
        <f t="shared" si="381"/>
        <v>0</v>
      </c>
      <c r="L615" s="48">
        <f t="shared" si="381"/>
        <v>0</v>
      </c>
      <c r="M615" s="48">
        <f t="shared" si="381"/>
        <v>0</v>
      </c>
      <c r="N615" s="48">
        <f t="shared" si="381"/>
        <v>0</v>
      </c>
      <c r="O615" s="48">
        <f t="shared" si="381"/>
        <v>0</v>
      </c>
      <c r="P615" s="48">
        <f t="shared" si="381"/>
        <v>0</v>
      </c>
      <c r="Q615" s="48">
        <f t="shared" si="381"/>
        <v>5500000</v>
      </c>
    </row>
    <row r="616" spans="1:17" ht="76" customHeight="1" x14ac:dyDescent="0.35">
      <c r="A616" s="216" t="s">
        <v>437</v>
      </c>
      <c r="B616" s="219" t="s">
        <v>438</v>
      </c>
      <c r="C616" s="52">
        <f>C617+C625+C630+C633+C641+C646+C649+C654</f>
        <v>0</v>
      </c>
      <c r="D616" s="52">
        <f>D617+D625+D630+D633+D641+D646+D649+D654</f>
        <v>0</v>
      </c>
      <c r="E616" s="53">
        <f>E617+E625+E630+E633+E641+E646+E649+E654</f>
        <v>5500000</v>
      </c>
      <c r="F616" s="54" t="s">
        <v>439</v>
      </c>
      <c r="G616" s="52">
        <f>Q616</f>
        <v>5500000</v>
      </c>
      <c r="H616" s="52">
        <f>K616+O616</f>
        <v>0</v>
      </c>
      <c r="I616" s="52">
        <f t="shared" si="382"/>
        <v>0</v>
      </c>
      <c r="J616" s="52">
        <f>J617+J625+J630+J633+J641+J646+J649+J654</f>
        <v>0</v>
      </c>
      <c r="K616" s="52">
        <f>K617+K625+K630+K633+K641+K646+K649+K654</f>
        <v>0</v>
      </c>
      <c r="L616" s="52">
        <f>L617+L625+L630+L633+L641+L646+L649+L654</f>
        <v>0</v>
      </c>
      <c r="M616" s="52"/>
      <c r="N616" s="52">
        <f>N617+N625+N630+N633+N641+N646+N649+N654</f>
        <v>0</v>
      </c>
      <c r="O616" s="52">
        <f>O617+O625+O630+O633+O641+O646+O649+O654</f>
        <v>0</v>
      </c>
      <c r="P616" s="52">
        <f>P617+P625+P630+P633+P641+P646+P649+P654</f>
        <v>0</v>
      </c>
      <c r="Q616" s="52">
        <f>Q617</f>
        <v>5500000</v>
      </c>
    </row>
    <row r="617" spans="1:17" ht="28" customHeight="1" x14ac:dyDescent="0.35">
      <c r="A617" s="217"/>
      <c r="B617" s="220"/>
      <c r="C617" s="60">
        <v>0</v>
      </c>
      <c r="D617" s="60">
        <v>0</v>
      </c>
      <c r="E617" s="72">
        <f>G618</f>
        <v>5500000</v>
      </c>
      <c r="F617" s="61" t="s">
        <v>36</v>
      </c>
      <c r="G617" s="60">
        <f>J617+M617+N617+Q617</f>
        <v>5500000</v>
      </c>
      <c r="H617" s="60">
        <f>K617+O617</f>
        <v>0</v>
      </c>
      <c r="I617" s="60">
        <f>L617+P617</f>
        <v>0</v>
      </c>
      <c r="J617" s="60">
        <f>K617+L617</f>
        <v>0</v>
      </c>
      <c r="K617" s="60">
        <v>0</v>
      </c>
      <c r="L617" s="60">
        <v>0</v>
      </c>
      <c r="M617" s="60">
        <v>0</v>
      </c>
      <c r="N617" s="60">
        <f>O617+P617</f>
        <v>0</v>
      </c>
      <c r="O617" s="77">
        <v>0</v>
      </c>
      <c r="P617" s="77">
        <v>0</v>
      </c>
      <c r="Q617" s="60">
        <f>Q618</f>
        <v>5500000</v>
      </c>
    </row>
    <row r="618" spans="1:17" ht="28" customHeight="1" x14ac:dyDescent="0.35">
      <c r="A618" s="218"/>
      <c r="B618" s="221"/>
      <c r="C618" s="199"/>
      <c r="D618" s="200"/>
      <c r="E618" s="200"/>
      <c r="F618" s="66" t="s">
        <v>1052</v>
      </c>
      <c r="G618" s="74">
        <f t="shared" ref="G618:O618" si="383">G617</f>
        <v>5500000</v>
      </c>
      <c r="H618" s="74">
        <f t="shared" si="383"/>
        <v>0</v>
      </c>
      <c r="I618" s="74">
        <f t="shared" si="383"/>
        <v>0</v>
      </c>
      <c r="J618" s="74">
        <f t="shared" si="383"/>
        <v>0</v>
      </c>
      <c r="K618" s="74">
        <f t="shared" si="383"/>
        <v>0</v>
      </c>
      <c r="L618" s="74">
        <f t="shared" si="383"/>
        <v>0</v>
      </c>
      <c r="M618" s="74">
        <f t="shared" si="383"/>
        <v>0</v>
      </c>
      <c r="N618" s="74">
        <f t="shared" si="383"/>
        <v>0</v>
      </c>
      <c r="O618" s="74">
        <f t="shared" si="383"/>
        <v>0</v>
      </c>
      <c r="P618" s="74">
        <f>P617</f>
        <v>0</v>
      </c>
      <c r="Q618" s="74">
        <f>3000000+2500000</f>
        <v>5500000</v>
      </c>
    </row>
    <row r="619" spans="1:17" ht="28" customHeight="1" x14ac:dyDescent="0.35">
      <c r="A619" s="39" t="s">
        <v>463</v>
      </c>
      <c r="B619" s="40" t="s">
        <v>16</v>
      </c>
      <c r="C619" s="41">
        <f>C620+C623+C626+C629</f>
        <v>0</v>
      </c>
      <c r="D619" s="41">
        <f>D620+D623+D626+D629</f>
        <v>0</v>
      </c>
      <c r="E619" s="42">
        <f>E620+E623+E626+E629</f>
        <v>0</v>
      </c>
      <c r="F619" s="43"/>
      <c r="G619" s="42">
        <f>G620+G623+G626+G629</f>
        <v>410233301</v>
      </c>
      <c r="H619" s="42">
        <f>H620+H623+H626+H629</f>
        <v>340240298</v>
      </c>
      <c r="I619" s="42">
        <f>I620+I623+I626+I629</f>
        <v>0</v>
      </c>
      <c r="J619" s="42">
        <f>J620+J623+J626+J629</f>
        <v>254434180</v>
      </c>
      <c r="K619" s="42">
        <f>K622+K623+K626+K629</f>
        <v>254434180</v>
      </c>
      <c r="L619" s="42">
        <f>L620+L623+L626+L629</f>
        <v>0</v>
      </c>
      <c r="M619" s="42">
        <f>M620+M625+M626+M629</f>
        <v>51632244</v>
      </c>
      <c r="N619" s="42">
        <f>N620+N623+N626+N629</f>
        <v>85806118</v>
      </c>
      <c r="O619" s="42">
        <f>O620+O623+O628+O629</f>
        <v>85806118</v>
      </c>
      <c r="P619" s="42">
        <f>P620</f>
        <v>0</v>
      </c>
      <c r="Q619" s="42">
        <f>Q620+Q623+Q626+Q631</f>
        <v>18360759</v>
      </c>
    </row>
    <row r="620" spans="1:17" ht="28" customHeight="1" x14ac:dyDescent="0.35">
      <c r="A620" s="45" t="s">
        <v>464</v>
      </c>
      <c r="B620" s="46" t="s">
        <v>465</v>
      </c>
      <c r="C620" s="47">
        <v>0</v>
      </c>
      <c r="D620" s="47">
        <v>0</v>
      </c>
      <c r="E620" s="48">
        <v>0</v>
      </c>
      <c r="F620" s="82" t="s">
        <v>466</v>
      </c>
      <c r="G620" s="48">
        <f>J620+M620+N620+Q620</f>
        <v>254434180</v>
      </c>
      <c r="H620" s="48">
        <f>K620+O620</f>
        <v>254434180</v>
      </c>
      <c r="I620" s="48">
        <f>L620+P620</f>
        <v>0</v>
      </c>
      <c r="J620" s="48">
        <f t="shared" ref="J620:J631" si="384">K620+L620</f>
        <v>254434180</v>
      </c>
      <c r="K620" s="48">
        <f t="shared" ref="K620:M621" si="385">K621</f>
        <v>254434180</v>
      </c>
      <c r="L620" s="48">
        <f t="shared" si="385"/>
        <v>0</v>
      </c>
      <c r="M620" s="48">
        <f t="shared" si="385"/>
        <v>0</v>
      </c>
      <c r="N620" s="48">
        <f t="shared" ref="N620:N631" si="386">O620+P620</f>
        <v>0</v>
      </c>
      <c r="O620" s="48">
        <f>O621</f>
        <v>0</v>
      </c>
      <c r="P620" s="48">
        <f>P621</f>
        <v>0</v>
      </c>
      <c r="Q620" s="48">
        <f>Q621</f>
        <v>0</v>
      </c>
    </row>
    <row r="621" spans="1:17" ht="28" customHeight="1" x14ac:dyDescent="0.35">
      <c r="A621" s="87" t="s">
        <v>467</v>
      </c>
      <c r="B621" s="88" t="s">
        <v>465</v>
      </c>
      <c r="C621" s="52"/>
      <c r="D621" s="52"/>
      <c r="E621" s="53"/>
      <c r="F621" s="54"/>
      <c r="G621" s="52">
        <f t="shared" ref="G621:G631" si="387">J621+M621+N621+Q621</f>
        <v>254434180</v>
      </c>
      <c r="H621" s="52">
        <f t="shared" ref="H621:I631" si="388">K621+O621</f>
        <v>254434180</v>
      </c>
      <c r="I621" s="52">
        <f t="shared" si="388"/>
        <v>0</v>
      </c>
      <c r="J621" s="52">
        <f t="shared" si="384"/>
        <v>254434180</v>
      </c>
      <c r="K621" s="52">
        <f t="shared" si="385"/>
        <v>254434180</v>
      </c>
      <c r="L621" s="52">
        <f t="shared" si="385"/>
        <v>0</v>
      </c>
      <c r="M621" s="52">
        <f t="shared" si="385"/>
        <v>0</v>
      </c>
      <c r="N621" s="52">
        <f t="shared" si="386"/>
        <v>0</v>
      </c>
      <c r="O621" s="52">
        <f>O622</f>
        <v>0</v>
      </c>
      <c r="P621" s="52">
        <f>P622</f>
        <v>0</v>
      </c>
      <c r="Q621" s="52">
        <f>Q622</f>
        <v>0</v>
      </c>
    </row>
    <row r="622" spans="1:17" ht="28" customHeight="1" x14ac:dyDescent="0.35">
      <c r="A622" s="122" t="s">
        <v>468</v>
      </c>
      <c r="B622" s="123" t="s">
        <v>465</v>
      </c>
      <c r="C622" s="124"/>
      <c r="D622" s="124"/>
      <c r="E622" s="125"/>
      <c r="F622" s="126" t="s">
        <v>37</v>
      </c>
      <c r="G622" s="124">
        <f t="shared" si="387"/>
        <v>254434180</v>
      </c>
      <c r="H622" s="124">
        <f t="shared" si="388"/>
        <v>254434180</v>
      </c>
      <c r="I622" s="124">
        <f t="shared" si="388"/>
        <v>0</v>
      </c>
      <c r="J622" s="124">
        <f t="shared" si="384"/>
        <v>254434180</v>
      </c>
      <c r="K622" s="124">
        <f>255696315-1262135</f>
        <v>254434180</v>
      </c>
      <c r="L622" s="124">
        <v>0</v>
      </c>
      <c r="M622" s="124">
        <v>0</v>
      </c>
      <c r="N622" s="124">
        <f t="shared" si="386"/>
        <v>0</v>
      </c>
      <c r="O622" s="124">
        <v>0</v>
      </c>
      <c r="P622" s="124">
        <v>0</v>
      </c>
      <c r="Q622" s="124">
        <v>0</v>
      </c>
    </row>
    <row r="623" spans="1:17" ht="28" customHeight="1" x14ac:dyDescent="0.35">
      <c r="A623" s="45" t="s">
        <v>469</v>
      </c>
      <c r="B623" s="46" t="s">
        <v>470</v>
      </c>
      <c r="C623" s="47">
        <v>0</v>
      </c>
      <c r="D623" s="47">
        <v>0</v>
      </c>
      <c r="E623" s="48">
        <v>0</v>
      </c>
      <c r="F623" s="82" t="s">
        <v>466</v>
      </c>
      <c r="G623" s="48">
        <f t="shared" si="387"/>
        <v>51632244</v>
      </c>
      <c r="H623" s="48">
        <f t="shared" si="388"/>
        <v>0</v>
      </c>
      <c r="I623" s="48">
        <f t="shared" si="388"/>
        <v>0</v>
      </c>
      <c r="J623" s="48">
        <f t="shared" si="384"/>
        <v>0</v>
      </c>
      <c r="K623" s="48">
        <f t="shared" ref="K623:M624" si="389">K624</f>
        <v>0</v>
      </c>
      <c r="L623" s="48">
        <f t="shared" si="389"/>
        <v>0</v>
      </c>
      <c r="M623" s="48">
        <f t="shared" si="389"/>
        <v>51632244</v>
      </c>
      <c r="N623" s="48">
        <f t="shared" si="386"/>
        <v>0</v>
      </c>
      <c r="O623" s="48">
        <f t="shared" ref="O623:Q624" si="390">O624</f>
        <v>0</v>
      </c>
      <c r="P623" s="48">
        <f t="shared" si="390"/>
        <v>0</v>
      </c>
      <c r="Q623" s="48">
        <f t="shared" si="390"/>
        <v>0</v>
      </c>
    </row>
    <row r="624" spans="1:17" ht="28" customHeight="1" x14ac:dyDescent="0.35">
      <c r="A624" s="87" t="s">
        <v>471</v>
      </c>
      <c r="B624" s="88" t="s">
        <v>470</v>
      </c>
      <c r="C624" s="52"/>
      <c r="D624" s="52"/>
      <c r="E624" s="53"/>
      <c r="F624" s="54"/>
      <c r="G624" s="52">
        <f t="shared" si="387"/>
        <v>51632244</v>
      </c>
      <c r="H624" s="52">
        <f t="shared" si="388"/>
        <v>0</v>
      </c>
      <c r="I624" s="52">
        <f t="shared" si="388"/>
        <v>0</v>
      </c>
      <c r="J624" s="52">
        <f t="shared" si="384"/>
        <v>0</v>
      </c>
      <c r="K624" s="52">
        <f t="shared" si="389"/>
        <v>0</v>
      </c>
      <c r="L624" s="52">
        <f t="shared" si="389"/>
        <v>0</v>
      </c>
      <c r="M624" s="52">
        <f t="shared" si="389"/>
        <v>51632244</v>
      </c>
      <c r="N624" s="52">
        <f t="shared" si="386"/>
        <v>0</v>
      </c>
      <c r="O624" s="52">
        <f t="shared" si="390"/>
        <v>0</v>
      </c>
      <c r="P624" s="52">
        <f t="shared" si="390"/>
        <v>0</v>
      </c>
      <c r="Q624" s="52">
        <f t="shared" si="390"/>
        <v>0</v>
      </c>
    </row>
    <row r="625" spans="1:20" ht="28" customHeight="1" x14ac:dyDescent="0.35">
      <c r="A625" s="122" t="s">
        <v>472</v>
      </c>
      <c r="B625" s="123" t="s">
        <v>470</v>
      </c>
      <c r="C625" s="124"/>
      <c r="D625" s="124"/>
      <c r="E625" s="125"/>
      <c r="F625" s="126" t="s">
        <v>37</v>
      </c>
      <c r="G625" s="124">
        <f t="shared" si="387"/>
        <v>51632244</v>
      </c>
      <c r="H625" s="124">
        <f t="shared" si="388"/>
        <v>0</v>
      </c>
      <c r="I625" s="124">
        <f t="shared" si="388"/>
        <v>0</v>
      </c>
      <c r="J625" s="124">
        <f t="shared" si="384"/>
        <v>0</v>
      </c>
      <c r="K625" s="124">
        <v>0</v>
      </c>
      <c r="L625" s="124">
        <v>0</v>
      </c>
      <c r="M625" s="124">
        <v>51632244</v>
      </c>
      <c r="N625" s="124">
        <f t="shared" si="386"/>
        <v>0</v>
      </c>
      <c r="O625" s="124">
        <v>0</v>
      </c>
      <c r="P625" s="124">
        <v>0</v>
      </c>
      <c r="Q625" s="124">
        <v>0</v>
      </c>
    </row>
    <row r="626" spans="1:20" ht="28" customHeight="1" x14ac:dyDescent="0.35">
      <c r="A626" s="45" t="s">
        <v>473</v>
      </c>
      <c r="B626" s="46" t="s">
        <v>474</v>
      </c>
      <c r="C626" s="47">
        <v>0</v>
      </c>
      <c r="D626" s="47">
        <v>0</v>
      </c>
      <c r="E626" s="48">
        <v>0</v>
      </c>
      <c r="F626" s="82" t="s">
        <v>466</v>
      </c>
      <c r="G626" s="48">
        <f t="shared" si="387"/>
        <v>85806118</v>
      </c>
      <c r="H626" s="48">
        <f t="shared" si="388"/>
        <v>85806118</v>
      </c>
      <c r="I626" s="48">
        <f t="shared" si="388"/>
        <v>0</v>
      </c>
      <c r="J626" s="48">
        <f t="shared" si="384"/>
        <v>0</v>
      </c>
      <c r="K626" s="48">
        <f t="shared" ref="K626:M627" si="391">K627</f>
        <v>0</v>
      </c>
      <c r="L626" s="48">
        <f t="shared" si="391"/>
        <v>0</v>
      </c>
      <c r="M626" s="48">
        <f t="shared" si="391"/>
        <v>0</v>
      </c>
      <c r="N626" s="48">
        <f t="shared" si="386"/>
        <v>85806118</v>
      </c>
      <c r="O626" s="48">
        <f t="shared" ref="O626:Q627" si="392">O627</f>
        <v>85806118</v>
      </c>
      <c r="P626" s="48">
        <f t="shared" si="392"/>
        <v>0</v>
      </c>
      <c r="Q626" s="48">
        <f t="shared" si="392"/>
        <v>0</v>
      </c>
    </row>
    <row r="627" spans="1:20" ht="28" customHeight="1" x14ac:dyDescent="0.35">
      <c r="A627" s="87" t="s">
        <v>475</v>
      </c>
      <c r="B627" s="88" t="s">
        <v>474</v>
      </c>
      <c r="C627" s="52"/>
      <c r="D627" s="52"/>
      <c r="E627" s="53"/>
      <c r="F627" s="54"/>
      <c r="G627" s="52">
        <f t="shared" si="387"/>
        <v>85806118</v>
      </c>
      <c r="H627" s="52">
        <f t="shared" si="388"/>
        <v>85806118</v>
      </c>
      <c r="I627" s="52">
        <f t="shared" si="388"/>
        <v>0</v>
      </c>
      <c r="J627" s="52">
        <f t="shared" si="384"/>
        <v>0</v>
      </c>
      <c r="K627" s="52">
        <f t="shared" si="391"/>
        <v>0</v>
      </c>
      <c r="L627" s="52">
        <f t="shared" si="391"/>
        <v>0</v>
      </c>
      <c r="M627" s="52">
        <f t="shared" si="391"/>
        <v>0</v>
      </c>
      <c r="N627" s="52">
        <f t="shared" si="386"/>
        <v>85806118</v>
      </c>
      <c r="O627" s="52">
        <f t="shared" si="392"/>
        <v>85806118</v>
      </c>
      <c r="P627" s="52">
        <f t="shared" si="392"/>
        <v>0</v>
      </c>
      <c r="Q627" s="52">
        <f t="shared" si="392"/>
        <v>0</v>
      </c>
    </row>
    <row r="628" spans="1:20" ht="28" customHeight="1" x14ac:dyDescent="0.35">
      <c r="A628" s="122" t="s">
        <v>476</v>
      </c>
      <c r="B628" s="123" t="s">
        <v>474</v>
      </c>
      <c r="C628" s="124"/>
      <c r="D628" s="124"/>
      <c r="E628" s="125"/>
      <c r="F628" s="126" t="s">
        <v>37</v>
      </c>
      <c r="G628" s="124">
        <f t="shared" si="387"/>
        <v>85806118</v>
      </c>
      <c r="H628" s="124">
        <f t="shared" si="388"/>
        <v>85806118</v>
      </c>
      <c r="I628" s="124">
        <f t="shared" si="388"/>
        <v>0</v>
      </c>
      <c r="J628" s="124">
        <f t="shared" si="384"/>
        <v>0</v>
      </c>
      <c r="K628" s="124">
        <v>0</v>
      </c>
      <c r="L628" s="124">
        <v>0</v>
      </c>
      <c r="M628" s="124">
        <v>0</v>
      </c>
      <c r="N628" s="124">
        <f t="shared" si="386"/>
        <v>85806118</v>
      </c>
      <c r="O628" s="124">
        <f>84543983+1262135</f>
        <v>85806118</v>
      </c>
      <c r="P628" s="124">
        <v>0</v>
      </c>
      <c r="Q628" s="124">
        <v>0</v>
      </c>
    </row>
    <row r="629" spans="1:20" ht="28" customHeight="1" x14ac:dyDescent="0.35">
      <c r="A629" s="45" t="s">
        <v>477</v>
      </c>
      <c r="B629" s="46" t="s">
        <v>478</v>
      </c>
      <c r="C629" s="47">
        <v>0</v>
      </c>
      <c r="D629" s="47">
        <v>0</v>
      </c>
      <c r="E629" s="48">
        <v>0</v>
      </c>
      <c r="F629" s="82" t="s">
        <v>466</v>
      </c>
      <c r="G629" s="48">
        <f t="shared" si="387"/>
        <v>18360759</v>
      </c>
      <c r="H629" s="48">
        <f t="shared" si="388"/>
        <v>0</v>
      </c>
      <c r="I629" s="48">
        <f t="shared" si="388"/>
        <v>0</v>
      </c>
      <c r="J629" s="48">
        <f t="shared" si="384"/>
        <v>0</v>
      </c>
      <c r="K629" s="48">
        <f t="shared" ref="K629:M630" si="393">K630</f>
        <v>0</v>
      </c>
      <c r="L629" s="48">
        <f t="shared" si="393"/>
        <v>0</v>
      </c>
      <c r="M629" s="48">
        <f t="shared" si="393"/>
        <v>0</v>
      </c>
      <c r="N629" s="48">
        <f t="shared" si="386"/>
        <v>0</v>
      </c>
      <c r="O629" s="48">
        <f t="shared" ref="O629:Q630" si="394">O630</f>
        <v>0</v>
      </c>
      <c r="P629" s="48">
        <f t="shared" si="394"/>
        <v>0</v>
      </c>
      <c r="Q629" s="48">
        <f t="shared" si="394"/>
        <v>18360759</v>
      </c>
    </row>
    <row r="630" spans="1:20" ht="28" customHeight="1" x14ac:dyDescent="0.35">
      <c r="A630" s="87" t="s">
        <v>479</v>
      </c>
      <c r="B630" s="88" t="s">
        <v>478</v>
      </c>
      <c r="C630" s="52"/>
      <c r="D630" s="52"/>
      <c r="E630" s="53"/>
      <c r="F630" s="54"/>
      <c r="G630" s="52">
        <f t="shared" si="387"/>
        <v>18360759</v>
      </c>
      <c r="H630" s="52">
        <f t="shared" si="388"/>
        <v>0</v>
      </c>
      <c r="I630" s="52">
        <f t="shared" si="388"/>
        <v>0</v>
      </c>
      <c r="J630" s="52">
        <f t="shared" si="384"/>
        <v>0</v>
      </c>
      <c r="K630" s="52">
        <f t="shared" si="393"/>
        <v>0</v>
      </c>
      <c r="L630" s="52">
        <f t="shared" si="393"/>
        <v>0</v>
      </c>
      <c r="M630" s="52">
        <f t="shared" si="393"/>
        <v>0</v>
      </c>
      <c r="N630" s="52">
        <f t="shared" si="386"/>
        <v>0</v>
      </c>
      <c r="O630" s="52">
        <f t="shared" si="394"/>
        <v>0</v>
      </c>
      <c r="P630" s="52">
        <f t="shared" si="394"/>
        <v>0</v>
      </c>
      <c r="Q630" s="52">
        <f t="shared" si="394"/>
        <v>18360759</v>
      </c>
    </row>
    <row r="631" spans="1:20" ht="28" customHeight="1" x14ac:dyDescent="0.35">
      <c r="A631" s="122" t="s">
        <v>480</v>
      </c>
      <c r="B631" s="123" t="s">
        <v>478</v>
      </c>
      <c r="C631" s="124"/>
      <c r="D631" s="124"/>
      <c r="E631" s="125"/>
      <c r="F631" s="126" t="s">
        <v>37</v>
      </c>
      <c r="G631" s="124">
        <f t="shared" si="387"/>
        <v>18360759</v>
      </c>
      <c r="H631" s="124">
        <f t="shared" si="388"/>
        <v>0</v>
      </c>
      <c r="I631" s="124">
        <f t="shared" si="388"/>
        <v>0</v>
      </c>
      <c r="J631" s="124">
        <f t="shared" si="384"/>
        <v>0</v>
      </c>
      <c r="K631" s="124">
        <v>0</v>
      </c>
      <c r="L631" s="124">
        <v>0</v>
      </c>
      <c r="M631" s="124">
        <v>0</v>
      </c>
      <c r="N631" s="124">
        <f t="shared" si="386"/>
        <v>0</v>
      </c>
      <c r="O631" s="124">
        <v>0</v>
      </c>
      <c r="P631" s="124">
        <v>0</v>
      </c>
      <c r="Q631" s="124">
        <v>18360759</v>
      </c>
      <c r="T631" s="55"/>
    </row>
    <row r="632" spans="1:20" s="76" customFormat="1" ht="30" customHeight="1" x14ac:dyDescent="0.35">
      <c r="A632" s="127" t="s">
        <v>481</v>
      </c>
      <c r="B632" s="128"/>
      <c r="C632" s="129"/>
      <c r="D632" s="129"/>
      <c r="E632" s="129"/>
      <c r="F632" s="130"/>
      <c r="G632" s="131"/>
      <c r="H632" s="131"/>
      <c r="I632" s="132"/>
      <c r="J632" s="132"/>
      <c r="K632" s="132"/>
      <c r="L632" s="132"/>
      <c r="M632" s="132"/>
      <c r="N632" s="132"/>
      <c r="O632" s="132"/>
      <c r="P632" s="132"/>
      <c r="Q632" s="132"/>
    </row>
    <row r="633" spans="1:20" ht="30" customHeight="1" x14ac:dyDescent="0.35">
      <c r="A633" s="133" t="s">
        <v>482</v>
      </c>
      <c r="B633" s="134"/>
      <c r="C633" s="135"/>
      <c r="D633" s="135"/>
      <c r="E633" s="135"/>
      <c r="F633" s="136"/>
      <c r="G633" s="137"/>
      <c r="H633" s="137"/>
      <c r="I633" s="137"/>
      <c r="J633" s="137"/>
      <c r="K633" s="137"/>
      <c r="L633" s="137"/>
      <c r="M633" s="137"/>
      <c r="N633" s="137"/>
      <c r="O633" s="137"/>
      <c r="P633" s="137"/>
      <c r="Q633" s="137"/>
    </row>
    <row r="634" spans="1:20" ht="30" customHeight="1" x14ac:dyDescent="0.35">
      <c r="A634" s="133" t="s">
        <v>483</v>
      </c>
      <c r="B634" s="134"/>
      <c r="C634" s="135"/>
      <c r="D634" s="135"/>
      <c r="E634" s="135"/>
      <c r="F634" s="136"/>
      <c r="G634" s="137"/>
      <c r="H634" s="137"/>
      <c r="I634" s="137"/>
      <c r="J634" s="137"/>
      <c r="K634" s="137"/>
      <c r="L634" s="137"/>
      <c r="M634" s="137"/>
      <c r="N634" s="137"/>
      <c r="O634" s="137"/>
      <c r="P634" s="137"/>
      <c r="Q634" s="137"/>
    </row>
    <row r="635" spans="1:20" ht="30" customHeight="1" x14ac:dyDescent="0.35">
      <c r="A635" s="133" t="s">
        <v>484</v>
      </c>
      <c r="B635" s="134"/>
      <c r="C635" s="135"/>
      <c r="D635" s="135"/>
      <c r="E635" s="135"/>
      <c r="F635" s="136"/>
      <c r="G635" s="137"/>
      <c r="H635" s="137"/>
      <c r="I635" s="137"/>
      <c r="J635" s="137"/>
      <c r="K635" s="137"/>
      <c r="L635" s="137"/>
      <c r="M635" s="137"/>
      <c r="N635" s="137"/>
      <c r="O635" s="137"/>
      <c r="P635" s="137"/>
      <c r="Q635" s="137"/>
    </row>
    <row r="636" spans="1:20" ht="30" customHeight="1" x14ac:dyDescent="0.35">
      <c r="A636" s="133" t="s">
        <v>485</v>
      </c>
      <c r="B636" s="134"/>
      <c r="C636" s="135"/>
      <c r="D636" s="135"/>
      <c r="E636" s="135"/>
      <c r="F636" s="136"/>
      <c r="G636" s="137"/>
      <c r="H636" s="137"/>
      <c r="I636" s="137"/>
      <c r="J636" s="137"/>
      <c r="K636" s="137"/>
      <c r="L636" s="137"/>
      <c r="M636" s="137"/>
      <c r="N636" s="137"/>
      <c r="O636" s="137"/>
      <c r="P636" s="137"/>
      <c r="Q636" s="137"/>
    </row>
    <row r="637" spans="1:20" ht="30" customHeight="1" x14ac:dyDescent="0.35">
      <c r="A637" s="134"/>
      <c r="B637" s="134"/>
      <c r="C637" s="135"/>
      <c r="D637" s="135"/>
      <c r="E637" s="135"/>
      <c r="F637" s="136"/>
      <c r="G637" s="137"/>
      <c r="H637" s="137"/>
      <c r="I637" s="137"/>
      <c r="J637" s="137"/>
      <c r="K637" s="137"/>
      <c r="L637" s="137"/>
      <c r="M637" s="137"/>
      <c r="N637" s="137"/>
      <c r="O637" s="137"/>
      <c r="P637" s="137"/>
      <c r="Q637" s="137"/>
    </row>
    <row r="638" spans="1:20" s="44" customFormat="1" ht="30" customHeight="1" x14ac:dyDescent="0.35">
      <c r="A638" s="138" t="s">
        <v>486</v>
      </c>
      <c r="B638" s="139"/>
      <c r="C638" s="140"/>
      <c r="D638" s="140"/>
      <c r="E638" s="140"/>
      <c r="F638" s="141"/>
      <c r="G638" s="142"/>
      <c r="H638" s="142"/>
      <c r="I638" s="142"/>
      <c r="J638" s="142"/>
      <c r="K638" s="142"/>
      <c r="L638" s="142"/>
      <c r="M638" s="142"/>
      <c r="N638" s="142"/>
      <c r="O638" s="142"/>
      <c r="P638" s="142"/>
      <c r="Q638" s="142"/>
    </row>
    <row r="639" spans="1:20" s="44" customFormat="1" ht="30" customHeight="1" x14ac:dyDescent="0.35">
      <c r="A639" s="143" t="s">
        <v>487</v>
      </c>
      <c r="B639" s="144"/>
      <c r="C639" s="144"/>
      <c r="D639" s="144"/>
      <c r="E639" s="144"/>
      <c r="F639" s="145"/>
      <c r="G639" s="143"/>
      <c r="H639" s="143"/>
      <c r="I639" s="143"/>
      <c r="J639" s="143"/>
      <c r="K639" s="143"/>
      <c r="L639" s="143"/>
      <c r="M639" s="143"/>
      <c r="N639" s="143"/>
      <c r="O639" s="143"/>
      <c r="P639" s="143"/>
      <c r="Q639" s="143"/>
    </row>
    <row r="640" spans="1:20" s="44" customFormat="1" ht="30" customHeight="1" x14ac:dyDescent="0.35">
      <c r="A640" s="143" t="s">
        <v>488</v>
      </c>
      <c r="B640" s="144"/>
      <c r="C640" s="144"/>
      <c r="D640" s="144"/>
      <c r="E640" s="144"/>
      <c r="F640" s="145"/>
      <c r="G640" s="143"/>
      <c r="H640" s="143"/>
      <c r="I640" s="143"/>
      <c r="J640" s="143"/>
      <c r="K640" s="143"/>
      <c r="L640" s="143"/>
      <c r="M640" s="143"/>
      <c r="N640" s="143"/>
      <c r="O640" s="143"/>
      <c r="P640" s="143"/>
      <c r="Q640" s="143"/>
    </row>
    <row r="641" spans="1:17" s="44" customFormat="1" ht="30" customHeight="1" x14ac:dyDescent="0.35">
      <c r="A641" s="143" t="s">
        <v>489</v>
      </c>
      <c r="B641" s="144"/>
      <c r="C641" s="144"/>
      <c r="D641" s="144"/>
      <c r="E641" s="144"/>
      <c r="F641" s="145"/>
      <c r="G641" s="143"/>
      <c r="H641" s="143"/>
      <c r="I641" s="143"/>
      <c r="J641" s="143"/>
      <c r="K641" s="143"/>
      <c r="L641" s="143"/>
      <c r="M641" s="143"/>
      <c r="N641" s="143"/>
      <c r="O641" s="143"/>
      <c r="P641" s="143"/>
      <c r="Q641" s="143"/>
    </row>
    <row r="642" spans="1:17" s="44" customFormat="1" ht="30" customHeight="1" x14ac:dyDescent="0.35">
      <c r="A642" s="139" t="s">
        <v>490</v>
      </c>
      <c r="B642" s="139"/>
      <c r="C642" s="146"/>
      <c r="D642" s="147"/>
      <c r="E642" s="147"/>
      <c r="F642" s="148"/>
      <c r="G642" s="139"/>
      <c r="H642" s="139"/>
      <c r="I642" s="139"/>
      <c r="J642" s="139"/>
      <c r="K642" s="149"/>
      <c r="L642" s="150"/>
      <c r="M642" s="150"/>
      <c r="N642" s="151"/>
      <c r="O642" s="152"/>
      <c r="P642" s="153"/>
      <c r="Q642" s="154"/>
    </row>
    <row r="643" spans="1:17" s="44" customFormat="1" ht="30" customHeight="1" x14ac:dyDescent="0.35">
      <c r="A643" s="139" t="s">
        <v>491</v>
      </c>
      <c r="B643" s="139"/>
      <c r="C643" s="155"/>
      <c r="D643" s="156"/>
      <c r="E643" s="156"/>
      <c r="F643" s="148"/>
      <c r="G643" s="139"/>
      <c r="H643" s="139"/>
      <c r="I643" s="139"/>
      <c r="J643" s="139"/>
      <c r="K643" s="149"/>
      <c r="L643" s="150"/>
      <c r="M643" s="150"/>
      <c r="N643" s="151"/>
      <c r="O643" s="152"/>
      <c r="P643" s="153"/>
      <c r="Q643" s="154"/>
    </row>
    <row r="644" spans="1:17" s="44" customFormat="1" ht="30" customHeight="1" x14ac:dyDescent="0.35">
      <c r="A644" s="139" t="s">
        <v>492</v>
      </c>
      <c r="B644" s="139"/>
      <c r="C644" s="155"/>
      <c r="D644" s="156"/>
      <c r="E644" s="156"/>
      <c r="F644" s="157"/>
      <c r="G644" s="142"/>
      <c r="H644" s="142"/>
      <c r="I644" s="142"/>
      <c r="J644" s="142"/>
      <c r="K644" s="142"/>
      <c r="L644" s="142"/>
      <c r="M644" s="142"/>
      <c r="N644" s="142"/>
      <c r="O644" s="142"/>
      <c r="P644" s="142"/>
      <c r="Q644" s="142"/>
    </row>
    <row r="645" spans="1:17" s="44" customFormat="1" ht="30" customHeight="1" x14ac:dyDescent="0.35">
      <c r="A645" s="139" t="s">
        <v>493</v>
      </c>
      <c r="B645" s="139"/>
      <c r="C645" s="155"/>
      <c r="D645" s="156"/>
      <c r="E645" s="156"/>
      <c r="F645" s="157"/>
      <c r="G645" s="142"/>
      <c r="H645" s="142"/>
      <c r="I645" s="142"/>
      <c r="J645" s="142"/>
      <c r="K645" s="142"/>
      <c r="L645" s="142"/>
      <c r="M645" s="142"/>
      <c r="N645" s="142"/>
      <c r="O645" s="142"/>
      <c r="P645" s="142"/>
      <c r="Q645" s="142"/>
    </row>
    <row r="646" spans="1:17" s="44" customFormat="1" ht="30" customHeight="1" x14ac:dyDescent="0.35">
      <c r="A646" s="139" t="s">
        <v>494</v>
      </c>
      <c r="B646" s="139"/>
      <c r="C646" s="155"/>
      <c r="D646" s="156"/>
      <c r="E646" s="156"/>
      <c r="F646" s="157"/>
      <c r="G646" s="142"/>
      <c r="H646" s="142"/>
      <c r="I646" s="142"/>
      <c r="J646" s="142"/>
      <c r="K646" s="142"/>
      <c r="L646" s="142"/>
      <c r="M646" s="142"/>
      <c r="N646" s="142"/>
      <c r="O646" s="142"/>
      <c r="P646" s="142"/>
      <c r="Q646" s="142"/>
    </row>
    <row r="647" spans="1:17" s="44" customFormat="1" ht="30" customHeight="1" x14ac:dyDescent="0.35">
      <c r="A647" s="139" t="s">
        <v>495</v>
      </c>
      <c r="B647" s="139"/>
      <c r="C647" s="155"/>
      <c r="D647" s="156"/>
      <c r="E647" s="156"/>
      <c r="F647" s="157"/>
      <c r="G647" s="142"/>
      <c r="H647" s="142"/>
      <c r="I647" s="142"/>
      <c r="J647" s="142"/>
      <c r="K647" s="142"/>
      <c r="L647" s="142"/>
      <c r="M647" s="142"/>
      <c r="N647" s="142"/>
      <c r="O647" s="142"/>
      <c r="P647" s="142"/>
      <c r="Q647" s="142"/>
    </row>
    <row r="648" spans="1:17" s="44" customFormat="1" ht="30" customHeight="1" x14ac:dyDescent="0.35">
      <c r="A648" s="139" t="s">
        <v>496</v>
      </c>
      <c r="B648" s="139"/>
      <c r="C648" s="155"/>
      <c r="D648" s="156"/>
      <c r="E648" s="156"/>
      <c r="F648" s="157"/>
      <c r="G648" s="142"/>
      <c r="H648" s="142"/>
      <c r="I648" s="142"/>
      <c r="J648" s="142"/>
      <c r="K648" s="142"/>
      <c r="L648" s="142"/>
      <c r="M648" s="142"/>
      <c r="N648" s="142"/>
      <c r="O648" s="142"/>
      <c r="P648" s="142"/>
      <c r="Q648" s="142"/>
    </row>
    <row r="649" spans="1:17" s="44" customFormat="1" ht="30" customHeight="1" x14ac:dyDescent="0.35">
      <c r="A649" s="139" t="s">
        <v>497</v>
      </c>
      <c r="B649" s="139"/>
      <c r="C649" s="155"/>
      <c r="D649" s="156"/>
      <c r="E649" s="156"/>
      <c r="F649" s="157"/>
      <c r="G649" s="142"/>
      <c r="H649" s="142"/>
      <c r="I649" s="142"/>
      <c r="J649" s="142"/>
      <c r="K649" s="142"/>
      <c r="L649" s="142"/>
      <c r="M649" s="142"/>
      <c r="N649" s="142"/>
      <c r="O649" s="142"/>
      <c r="P649" s="142"/>
      <c r="Q649" s="142"/>
    </row>
    <row r="650" spans="1:17" s="44" customFormat="1" ht="30" customHeight="1" x14ac:dyDescent="0.35">
      <c r="A650" s="139" t="s">
        <v>498</v>
      </c>
      <c r="B650" s="139"/>
      <c r="C650" s="158"/>
      <c r="D650" s="156"/>
      <c r="E650" s="156"/>
      <c r="F650" s="157"/>
      <c r="G650" s="142"/>
      <c r="H650" s="142"/>
      <c r="I650" s="142"/>
      <c r="J650" s="142"/>
      <c r="K650" s="142"/>
      <c r="L650" s="142"/>
      <c r="M650" s="142"/>
      <c r="N650" s="142"/>
      <c r="O650" s="142"/>
      <c r="P650" s="142"/>
      <c r="Q650" s="142"/>
    </row>
    <row r="651" spans="1:17" s="44" customFormat="1" ht="30" customHeight="1" x14ac:dyDescent="0.35">
      <c r="A651" s="139" t="s">
        <v>499</v>
      </c>
      <c r="B651" s="139"/>
      <c r="C651" s="155"/>
      <c r="D651" s="159"/>
      <c r="E651" s="159"/>
      <c r="F651" s="157"/>
      <c r="G651" s="142"/>
      <c r="H651" s="142"/>
      <c r="I651" s="142"/>
      <c r="J651" s="142"/>
      <c r="K651" s="142"/>
      <c r="L651" s="142"/>
      <c r="M651" s="142"/>
      <c r="N651" s="142"/>
      <c r="O651" s="142"/>
      <c r="P651" s="142"/>
      <c r="Q651" s="142"/>
    </row>
    <row r="652" spans="1:17" s="44" customFormat="1" ht="30" customHeight="1" x14ac:dyDescent="0.35">
      <c r="A652" s="139" t="s">
        <v>500</v>
      </c>
      <c r="B652" s="139"/>
      <c r="C652" s="148"/>
      <c r="D652" s="148"/>
      <c r="E652" s="148"/>
      <c r="F652" s="157"/>
      <c r="G652" s="142"/>
      <c r="H652" s="142"/>
      <c r="I652" s="142"/>
      <c r="J652" s="142"/>
      <c r="K652" s="142"/>
      <c r="L652" s="142"/>
      <c r="M652" s="142"/>
      <c r="N652" s="142"/>
      <c r="O652" s="142"/>
      <c r="P652" s="142"/>
      <c r="Q652" s="142"/>
    </row>
    <row r="653" spans="1:17" s="44" customFormat="1" ht="30" customHeight="1" x14ac:dyDescent="0.35">
      <c r="A653" s="139" t="s">
        <v>501</v>
      </c>
      <c r="B653" s="139"/>
      <c r="C653" s="148"/>
      <c r="D653" s="148"/>
      <c r="E653" s="148"/>
      <c r="F653" s="157"/>
      <c r="G653" s="142"/>
      <c r="H653" s="142"/>
      <c r="I653" s="142"/>
      <c r="J653" s="142"/>
      <c r="K653" s="142"/>
      <c r="L653" s="142"/>
      <c r="M653" s="142"/>
      <c r="N653" s="142"/>
      <c r="O653" s="142"/>
      <c r="P653" s="142"/>
      <c r="Q653" s="142"/>
    </row>
    <row r="654" spans="1:17" s="44" customFormat="1" ht="30" customHeight="1" x14ac:dyDescent="0.35">
      <c r="A654" s="139" t="s">
        <v>502</v>
      </c>
      <c r="B654" s="139"/>
      <c r="C654" s="148"/>
      <c r="D654" s="148"/>
      <c r="E654" s="148"/>
      <c r="F654" s="157"/>
      <c r="G654" s="142"/>
      <c r="H654" s="142"/>
      <c r="I654" s="142"/>
      <c r="J654" s="142"/>
      <c r="K654" s="142"/>
      <c r="L654" s="142"/>
      <c r="M654" s="142"/>
      <c r="N654" s="142"/>
      <c r="O654" s="142"/>
      <c r="P654" s="142"/>
      <c r="Q654" s="142"/>
    </row>
    <row r="655" spans="1:17" s="44" customFormat="1" ht="30" customHeight="1" x14ac:dyDescent="0.35">
      <c r="A655" s="139" t="s">
        <v>503</v>
      </c>
      <c r="B655" s="139"/>
      <c r="C655" s="148"/>
      <c r="D655" s="148"/>
      <c r="E655" s="148"/>
      <c r="F655" s="157"/>
      <c r="G655" s="142"/>
      <c r="H655" s="142"/>
      <c r="I655" s="142"/>
      <c r="J655" s="142"/>
      <c r="K655" s="142"/>
      <c r="L655" s="142"/>
      <c r="M655" s="142"/>
      <c r="N655" s="142"/>
      <c r="O655" s="142"/>
      <c r="P655" s="142"/>
      <c r="Q655" s="142"/>
    </row>
    <row r="656" spans="1:17" s="44" customFormat="1" ht="30" customHeight="1" x14ac:dyDescent="0.35">
      <c r="A656" s="139" t="s">
        <v>504</v>
      </c>
      <c r="B656" s="139"/>
      <c r="C656" s="148"/>
      <c r="D656" s="148"/>
      <c r="E656" s="148"/>
      <c r="F656" s="157"/>
      <c r="G656" s="142"/>
      <c r="H656" s="142"/>
      <c r="I656" s="142"/>
      <c r="J656" s="142"/>
      <c r="K656" s="142"/>
      <c r="L656" s="142"/>
      <c r="M656" s="142"/>
      <c r="N656" s="142"/>
      <c r="O656" s="142"/>
      <c r="P656" s="142"/>
      <c r="Q656" s="142"/>
    </row>
    <row r="657" spans="1:17" s="44" customFormat="1" ht="30" customHeight="1" x14ac:dyDescent="0.35">
      <c r="A657" s="139" t="s">
        <v>505</v>
      </c>
      <c r="B657" s="139"/>
      <c r="C657" s="148"/>
      <c r="D657" s="148"/>
      <c r="E657" s="148"/>
      <c r="F657" s="148"/>
      <c r="G657" s="139"/>
      <c r="H657" s="139"/>
      <c r="I657" s="139"/>
      <c r="J657" s="139"/>
      <c r="K657" s="149"/>
      <c r="L657" s="150"/>
      <c r="M657" s="150"/>
      <c r="N657" s="151"/>
      <c r="O657" s="153"/>
      <c r="P657" s="160"/>
      <c r="Q657" s="154"/>
    </row>
    <row r="658" spans="1:17" s="44" customFormat="1" ht="30" customHeight="1" x14ac:dyDescent="0.35">
      <c r="A658" s="139" t="s">
        <v>506</v>
      </c>
      <c r="B658" s="139"/>
      <c r="C658" s="148"/>
      <c r="D658" s="148"/>
      <c r="E658" s="148"/>
      <c r="F658" s="148"/>
      <c r="G658" s="139"/>
      <c r="H658" s="139"/>
      <c r="I658" s="139"/>
      <c r="J658" s="139"/>
      <c r="K658" s="149"/>
      <c r="L658" s="150"/>
      <c r="M658" s="150"/>
      <c r="N658" s="151"/>
      <c r="O658" s="153"/>
      <c r="P658" s="160"/>
      <c r="Q658" s="154"/>
    </row>
    <row r="659" spans="1:17" s="44" customFormat="1" ht="30" customHeight="1" x14ac:dyDescent="0.35">
      <c r="A659" s="143" t="s">
        <v>507</v>
      </c>
      <c r="B659" s="144"/>
      <c r="C659" s="144"/>
      <c r="D659" s="144"/>
      <c r="E659" s="144"/>
      <c r="F659" s="145"/>
      <c r="G659" s="143"/>
      <c r="H659" s="143"/>
      <c r="I659" s="143"/>
      <c r="J659" s="143"/>
      <c r="K659" s="143"/>
      <c r="L659" s="143"/>
      <c r="M659" s="143"/>
      <c r="N659" s="143"/>
      <c r="O659" s="143"/>
      <c r="P659" s="143"/>
      <c r="Q659" s="143"/>
    </row>
    <row r="660" spans="1:17" s="44" customFormat="1" ht="30" customHeight="1" x14ac:dyDescent="0.35">
      <c r="A660" s="139" t="s">
        <v>508</v>
      </c>
      <c r="B660" s="139"/>
      <c r="C660" s="148"/>
      <c r="D660" s="148"/>
      <c r="E660" s="148"/>
      <c r="F660" s="157"/>
      <c r="G660" s="142"/>
      <c r="H660" s="142"/>
      <c r="I660" s="142"/>
      <c r="J660" s="142"/>
      <c r="K660" s="142"/>
      <c r="L660" s="142"/>
      <c r="M660" s="142"/>
      <c r="N660" s="142"/>
      <c r="O660" s="161"/>
      <c r="P660" s="161"/>
      <c r="Q660" s="161"/>
    </row>
    <row r="661" spans="1:17" s="44" customFormat="1" ht="30" customHeight="1" x14ac:dyDescent="0.35">
      <c r="A661" s="139" t="s">
        <v>509</v>
      </c>
      <c r="B661" s="139"/>
      <c r="C661" s="148"/>
      <c r="D661" s="148"/>
      <c r="E661" s="148"/>
      <c r="F661" s="157"/>
      <c r="G661" s="142"/>
      <c r="H661" s="142"/>
      <c r="I661" s="142"/>
      <c r="J661" s="142"/>
      <c r="K661" s="142"/>
      <c r="L661" s="142"/>
      <c r="M661" s="142"/>
      <c r="N661" s="142"/>
      <c r="O661" s="162"/>
      <c r="P661" s="161"/>
      <c r="Q661" s="161"/>
    </row>
    <row r="662" spans="1:17" s="44" customFormat="1" ht="30" customHeight="1" x14ac:dyDescent="0.35">
      <c r="A662" s="139" t="s">
        <v>510</v>
      </c>
      <c r="B662" s="139"/>
      <c r="C662" s="148"/>
      <c r="D662" s="148"/>
      <c r="E662" s="148"/>
      <c r="F662" s="157"/>
      <c r="G662" s="142"/>
      <c r="H662" s="142"/>
      <c r="I662" s="142"/>
      <c r="J662" s="142"/>
      <c r="K662" s="142"/>
      <c r="L662" s="142"/>
      <c r="M662" s="142"/>
      <c r="N662" s="142"/>
      <c r="O662" s="142"/>
      <c r="P662" s="142"/>
      <c r="Q662" s="142"/>
    </row>
    <row r="663" spans="1:17" s="44" customFormat="1" ht="30" customHeight="1" x14ac:dyDescent="0.35">
      <c r="A663" s="139" t="s">
        <v>511</v>
      </c>
      <c r="B663" s="139"/>
      <c r="C663" s="148"/>
      <c r="D663" s="148"/>
      <c r="E663" s="148"/>
      <c r="F663" s="157"/>
      <c r="G663" s="142"/>
      <c r="H663" s="142"/>
      <c r="I663" s="142"/>
      <c r="J663" s="142"/>
      <c r="K663" s="142"/>
      <c r="L663" s="142"/>
      <c r="M663" s="142"/>
      <c r="N663" s="142"/>
      <c r="O663" s="142"/>
      <c r="P663" s="142"/>
      <c r="Q663" s="142"/>
    </row>
    <row r="664" spans="1:17" s="44" customFormat="1" ht="30" customHeight="1" x14ac:dyDescent="0.35">
      <c r="A664" s="143" t="s">
        <v>512</v>
      </c>
      <c r="B664" s="144"/>
      <c r="C664" s="144"/>
      <c r="D664" s="144"/>
      <c r="E664" s="144"/>
      <c r="F664" s="145"/>
      <c r="G664" s="143"/>
      <c r="H664" s="143"/>
      <c r="I664" s="143"/>
      <c r="J664" s="143"/>
      <c r="K664" s="143"/>
      <c r="L664" s="143"/>
      <c r="M664" s="143"/>
      <c r="N664" s="143"/>
      <c r="O664" s="143"/>
      <c r="P664" s="143"/>
      <c r="Q664" s="143"/>
    </row>
    <row r="665" spans="1:17" s="44" customFormat="1" ht="30" customHeight="1" x14ac:dyDescent="0.35">
      <c r="A665" s="148" t="s">
        <v>513</v>
      </c>
      <c r="B665" s="139"/>
      <c r="C665" s="148"/>
      <c r="D665" s="148"/>
      <c r="E665" s="148"/>
      <c r="F665" s="157"/>
      <c r="G665" s="142"/>
      <c r="H665" s="142"/>
      <c r="I665" s="142"/>
      <c r="J665" s="142"/>
      <c r="K665" s="142"/>
      <c r="L665" s="142"/>
      <c r="M665" s="142"/>
      <c r="N665" s="142"/>
      <c r="O665" s="142"/>
      <c r="P665" s="142"/>
      <c r="Q665" s="142"/>
    </row>
    <row r="666" spans="1:17" s="44" customFormat="1" ht="30" customHeight="1" x14ac:dyDescent="0.35">
      <c r="A666" s="148" t="s">
        <v>514</v>
      </c>
      <c r="B666" s="139"/>
      <c r="C666" s="148"/>
      <c r="D666" s="148"/>
      <c r="E666" s="148"/>
      <c r="F666" s="157"/>
      <c r="G666" s="142"/>
      <c r="H666" s="142"/>
      <c r="I666" s="142"/>
      <c r="J666" s="142"/>
      <c r="K666" s="142"/>
      <c r="L666" s="163"/>
      <c r="M666" s="163"/>
      <c r="N666" s="163"/>
      <c r="O666" s="142"/>
      <c r="P666" s="142"/>
      <c r="Q666" s="142"/>
    </row>
    <row r="667" spans="1:17" s="44" customFormat="1" ht="30" customHeight="1" x14ac:dyDescent="0.35">
      <c r="A667" s="148" t="s">
        <v>515</v>
      </c>
      <c r="B667" s="139"/>
      <c r="C667" s="148"/>
      <c r="D667" s="148"/>
      <c r="E667" s="148"/>
      <c r="F667" s="148"/>
      <c r="G667" s="139"/>
      <c r="H667" s="139"/>
      <c r="I667" s="139"/>
      <c r="J667" s="139"/>
      <c r="K667" s="149"/>
      <c r="L667" s="164"/>
      <c r="M667" s="164"/>
      <c r="N667" s="165"/>
      <c r="O667" s="153"/>
      <c r="P667" s="153"/>
      <c r="Q667" s="154"/>
    </row>
    <row r="668" spans="1:17" s="44" customFormat="1" ht="30" customHeight="1" x14ac:dyDescent="0.35">
      <c r="A668" s="148" t="s">
        <v>516</v>
      </c>
      <c r="B668" s="139"/>
      <c r="C668" s="148"/>
      <c r="D668" s="148"/>
      <c r="E668" s="148"/>
      <c r="F668" s="148"/>
      <c r="G668" s="139"/>
      <c r="H668" s="139"/>
      <c r="I668" s="139"/>
      <c r="J668" s="139"/>
      <c r="K668" s="149"/>
      <c r="L668" s="164"/>
      <c r="M668" s="164"/>
      <c r="N668" s="165"/>
      <c r="O668" s="153"/>
      <c r="P668" s="153"/>
      <c r="Q668" s="154"/>
    </row>
    <row r="669" spans="1:17" s="44" customFormat="1" ht="30" customHeight="1" x14ac:dyDescent="0.35">
      <c r="A669" s="143" t="s">
        <v>517</v>
      </c>
      <c r="B669" s="144"/>
      <c r="C669" s="144"/>
      <c r="D669" s="144"/>
      <c r="E669" s="144"/>
      <c r="F669" s="145"/>
      <c r="G669" s="143"/>
      <c r="H669" s="143"/>
      <c r="I669" s="143"/>
      <c r="J669" s="143"/>
      <c r="K669" s="143"/>
      <c r="L669" s="143"/>
      <c r="M669" s="143"/>
      <c r="N669" s="143"/>
      <c r="O669" s="143"/>
      <c r="P669" s="143"/>
      <c r="Q669" s="143"/>
    </row>
    <row r="670" spans="1:17" s="44" customFormat="1" ht="30" customHeight="1" x14ac:dyDescent="0.35">
      <c r="A670" s="139" t="s">
        <v>518</v>
      </c>
      <c r="B670" s="139"/>
      <c r="C670" s="148"/>
      <c r="D670" s="148"/>
      <c r="E670" s="148"/>
      <c r="F670" s="148"/>
      <c r="G670" s="139"/>
      <c r="H670" s="139"/>
      <c r="I670" s="139"/>
      <c r="J670" s="139"/>
      <c r="K670" s="149"/>
      <c r="L670" s="164"/>
      <c r="M670" s="164"/>
      <c r="N670" s="165"/>
      <c r="O670" s="153"/>
      <c r="P670" s="153"/>
      <c r="Q670" s="154"/>
    </row>
    <row r="671" spans="1:17" s="44" customFormat="1" ht="30" customHeight="1" x14ac:dyDescent="0.35">
      <c r="A671" s="139" t="s">
        <v>519</v>
      </c>
      <c r="B671" s="139"/>
      <c r="C671" s="148"/>
      <c r="D671" s="148"/>
      <c r="E671" s="148"/>
      <c r="F671" s="148"/>
      <c r="G671" s="139"/>
      <c r="H671" s="139"/>
      <c r="I671" s="139"/>
      <c r="J671" s="139"/>
      <c r="K671" s="149"/>
      <c r="L671" s="164"/>
      <c r="M671" s="164"/>
      <c r="N671" s="165"/>
      <c r="O671" s="153"/>
      <c r="P671" s="153"/>
      <c r="Q671" s="154"/>
    </row>
    <row r="672" spans="1:17" s="44" customFormat="1" ht="30" customHeight="1" x14ac:dyDescent="0.35">
      <c r="A672" s="139" t="s">
        <v>520</v>
      </c>
      <c r="B672" s="139"/>
      <c r="C672" s="148"/>
      <c r="D672" s="148"/>
      <c r="E672" s="148"/>
      <c r="F672" s="148"/>
      <c r="G672" s="139"/>
      <c r="H672" s="139"/>
      <c r="I672" s="139"/>
      <c r="J672" s="139"/>
      <c r="K672" s="149"/>
      <c r="L672" s="150"/>
      <c r="M672" s="150"/>
      <c r="N672" s="151"/>
      <c r="O672" s="153"/>
      <c r="P672" s="153"/>
      <c r="Q672" s="154"/>
    </row>
    <row r="673" spans="1:17" s="44" customFormat="1" ht="30" customHeight="1" x14ac:dyDescent="0.35">
      <c r="A673" s="148" t="s">
        <v>521</v>
      </c>
      <c r="B673" s="148"/>
      <c r="C673" s="148"/>
      <c r="D673" s="148"/>
      <c r="E673" s="148"/>
      <c r="F673" s="148"/>
      <c r="G673" s="139"/>
      <c r="H673" s="139"/>
      <c r="I673" s="139"/>
      <c r="J673" s="139"/>
      <c r="K673" s="149"/>
      <c r="L673" s="150"/>
      <c r="M673" s="150"/>
      <c r="N673" s="151"/>
      <c r="O673" s="153"/>
      <c r="P673" s="153"/>
      <c r="Q673" s="154"/>
    </row>
    <row r="674" spans="1:17" s="44" customFormat="1" ht="30" customHeight="1" x14ac:dyDescent="0.35">
      <c r="A674" s="143" t="s">
        <v>522</v>
      </c>
      <c r="B674" s="144"/>
      <c r="C674" s="144"/>
      <c r="D674" s="144"/>
      <c r="E674" s="144"/>
      <c r="F674" s="145"/>
      <c r="G674" s="143"/>
      <c r="H674" s="143"/>
      <c r="I674" s="143"/>
      <c r="J674" s="143"/>
      <c r="K674" s="143"/>
      <c r="L674" s="143"/>
      <c r="M674" s="143"/>
      <c r="N674" s="143"/>
      <c r="O674" s="143"/>
      <c r="P674" s="143"/>
      <c r="Q674" s="143"/>
    </row>
    <row r="675" spans="1:17" s="44" customFormat="1" ht="30" customHeight="1" x14ac:dyDescent="0.35">
      <c r="A675" s="148" t="s">
        <v>523</v>
      </c>
      <c r="B675" s="148"/>
      <c r="C675" s="148"/>
      <c r="D675" s="148"/>
      <c r="E675" s="148"/>
      <c r="F675" s="148"/>
      <c r="G675" s="139"/>
      <c r="H675" s="139"/>
      <c r="I675" s="139"/>
      <c r="J675" s="139"/>
      <c r="K675" s="149"/>
      <c r="L675" s="150"/>
      <c r="M675" s="150"/>
      <c r="N675" s="151"/>
      <c r="O675" s="153"/>
      <c r="P675" s="153"/>
      <c r="Q675" s="154"/>
    </row>
    <row r="676" spans="1:17" s="44" customFormat="1" ht="30" customHeight="1" x14ac:dyDescent="0.35">
      <c r="A676" s="148" t="s">
        <v>524</v>
      </c>
      <c r="B676" s="148"/>
      <c r="C676" s="148"/>
      <c r="D676" s="148"/>
      <c r="E676" s="148"/>
      <c r="F676" s="148"/>
      <c r="G676" s="139"/>
      <c r="H676" s="139"/>
      <c r="I676" s="139"/>
      <c r="J676" s="139"/>
      <c r="K676" s="149"/>
      <c r="L676" s="150"/>
      <c r="M676" s="150"/>
      <c r="N676" s="151"/>
      <c r="O676" s="153"/>
      <c r="P676" s="153"/>
      <c r="Q676" s="154"/>
    </row>
    <row r="677" spans="1:17" s="44" customFormat="1" ht="30" customHeight="1" x14ac:dyDescent="0.35">
      <c r="A677" s="148" t="s">
        <v>525</v>
      </c>
      <c r="B677" s="148"/>
      <c r="C677" s="148"/>
      <c r="D677" s="148"/>
      <c r="E677" s="148"/>
      <c r="F677" s="148"/>
      <c r="G677" s="139"/>
      <c r="H677" s="139"/>
      <c r="I677" s="139"/>
      <c r="J677" s="139"/>
      <c r="K677" s="149"/>
      <c r="L677" s="150"/>
      <c r="M677" s="150"/>
      <c r="N677" s="151"/>
      <c r="O677" s="153"/>
      <c r="P677" s="153"/>
      <c r="Q677" s="154"/>
    </row>
    <row r="678" spans="1:17" s="44" customFormat="1" ht="30" customHeight="1" x14ac:dyDescent="0.35">
      <c r="A678" s="148" t="s">
        <v>526</v>
      </c>
      <c r="B678" s="148"/>
      <c r="C678" s="148"/>
      <c r="D678" s="148"/>
      <c r="E678" s="148"/>
      <c r="F678" s="148"/>
      <c r="G678" s="139"/>
      <c r="H678" s="139"/>
      <c r="I678" s="139"/>
      <c r="J678" s="139"/>
      <c r="K678" s="149"/>
      <c r="L678" s="150"/>
      <c r="M678" s="150"/>
      <c r="N678" s="151"/>
      <c r="O678" s="153"/>
      <c r="P678" s="153"/>
      <c r="Q678" s="154"/>
    </row>
    <row r="679" spans="1:17" s="44" customFormat="1" ht="30" customHeight="1" x14ac:dyDescent="0.35">
      <c r="A679" s="143" t="s">
        <v>527</v>
      </c>
      <c r="B679" s="144"/>
      <c r="C679" s="144"/>
      <c r="D679" s="144"/>
      <c r="E679" s="144"/>
      <c r="F679" s="145"/>
      <c r="G679" s="143"/>
      <c r="H679" s="143"/>
      <c r="I679" s="143"/>
      <c r="J679" s="143"/>
      <c r="K679" s="143"/>
      <c r="L679" s="143"/>
      <c r="M679" s="143"/>
      <c r="N679" s="143"/>
      <c r="O679" s="143"/>
      <c r="P679" s="143"/>
      <c r="Q679" s="143"/>
    </row>
    <row r="680" spans="1:17" s="44" customFormat="1" ht="30" customHeight="1" x14ac:dyDescent="0.35">
      <c r="A680" s="148" t="s">
        <v>528</v>
      </c>
      <c r="B680" s="148"/>
      <c r="C680" s="148"/>
      <c r="D680" s="148"/>
      <c r="E680" s="148"/>
      <c r="F680" s="148"/>
      <c r="G680" s="139"/>
      <c r="H680" s="139"/>
      <c r="I680" s="139"/>
      <c r="J680" s="139"/>
      <c r="K680" s="149"/>
      <c r="L680" s="150"/>
      <c r="M680" s="150"/>
      <c r="N680" s="151"/>
      <c r="O680" s="152"/>
      <c r="P680" s="153"/>
      <c r="Q680" s="154"/>
    </row>
    <row r="681" spans="1:17" s="44" customFormat="1" ht="30" customHeight="1" x14ac:dyDescent="0.35">
      <c r="A681" s="143" t="s">
        <v>529</v>
      </c>
      <c r="B681" s="144"/>
      <c r="C681" s="144"/>
      <c r="D681" s="144"/>
      <c r="E681" s="144"/>
      <c r="F681" s="145"/>
      <c r="G681" s="143"/>
      <c r="H681" s="143"/>
      <c r="I681" s="143"/>
      <c r="J681" s="143"/>
      <c r="K681" s="143"/>
      <c r="L681" s="143"/>
      <c r="M681" s="143"/>
      <c r="N681" s="143"/>
      <c r="O681" s="143"/>
      <c r="P681" s="143"/>
      <c r="Q681" s="143"/>
    </row>
    <row r="682" spans="1:17" s="44" customFormat="1" ht="30" customHeight="1" x14ac:dyDescent="0.35">
      <c r="A682" s="143" t="s">
        <v>530</v>
      </c>
      <c r="B682" s="144"/>
      <c r="C682" s="144"/>
      <c r="D682" s="144"/>
      <c r="E682" s="144"/>
      <c r="F682" s="145"/>
      <c r="G682" s="143"/>
      <c r="H682" s="143"/>
      <c r="I682" s="143"/>
      <c r="J682" s="143"/>
      <c r="K682" s="143"/>
      <c r="L682" s="143"/>
      <c r="M682" s="143"/>
      <c r="N682" s="143"/>
      <c r="O682" s="143"/>
      <c r="P682" s="143"/>
      <c r="Q682" s="143"/>
    </row>
    <row r="683" spans="1:17" s="44" customFormat="1" ht="30" customHeight="1" x14ac:dyDescent="0.35">
      <c r="A683" s="148" t="s">
        <v>531</v>
      </c>
      <c r="B683" s="148"/>
      <c r="C683" s="148"/>
      <c r="D683" s="148"/>
      <c r="E683" s="148"/>
      <c r="F683" s="157"/>
      <c r="G683" s="142"/>
      <c r="H683" s="142"/>
      <c r="I683" s="142"/>
      <c r="J683" s="142"/>
      <c r="K683" s="142"/>
      <c r="L683" s="142"/>
      <c r="M683" s="142"/>
      <c r="N683" s="142"/>
      <c r="O683" s="142"/>
      <c r="P683" s="142"/>
      <c r="Q683" s="142"/>
    </row>
    <row r="684" spans="1:17" s="44" customFormat="1" ht="30" customHeight="1" x14ac:dyDescent="0.35">
      <c r="A684" s="148" t="s">
        <v>532</v>
      </c>
      <c r="B684" s="148"/>
      <c r="C684" s="148"/>
      <c r="D684" s="148"/>
      <c r="E684" s="148"/>
      <c r="F684" s="157"/>
      <c r="G684" s="142"/>
      <c r="H684" s="142"/>
      <c r="I684" s="142"/>
      <c r="J684" s="142"/>
      <c r="K684" s="142"/>
      <c r="L684" s="142"/>
      <c r="M684" s="142"/>
      <c r="N684" s="142"/>
      <c r="O684" s="142"/>
      <c r="P684" s="142"/>
      <c r="Q684" s="142"/>
    </row>
    <row r="685" spans="1:17" s="44" customFormat="1" ht="30" customHeight="1" x14ac:dyDescent="0.35">
      <c r="A685" s="148" t="s">
        <v>533</v>
      </c>
      <c r="B685" s="148"/>
      <c r="C685" s="148"/>
      <c r="D685" s="148"/>
      <c r="E685" s="148"/>
      <c r="F685" s="157"/>
      <c r="G685" s="142"/>
      <c r="H685" s="142"/>
      <c r="I685" s="142"/>
      <c r="J685" s="142"/>
      <c r="K685" s="142"/>
      <c r="L685" s="142"/>
      <c r="M685" s="142"/>
      <c r="N685" s="142"/>
      <c r="O685" s="142"/>
      <c r="P685" s="142"/>
      <c r="Q685" s="142"/>
    </row>
    <row r="686" spans="1:17" s="44" customFormat="1" ht="30" customHeight="1" x14ac:dyDescent="0.35">
      <c r="A686" s="143" t="s">
        <v>534</v>
      </c>
      <c r="B686" s="144"/>
      <c r="C686" s="144"/>
      <c r="D686" s="144"/>
      <c r="E686" s="144"/>
      <c r="F686" s="145"/>
      <c r="G686" s="143"/>
      <c r="H686" s="143"/>
      <c r="I686" s="143"/>
      <c r="J686" s="143"/>
      <c r="K686" s="143"/>
      <c r="L686" s="143"/>
      <c r="M686" s="143"/>
      <c r="N686" s="143"/>
      <c r="O686" s="143"/>
      <c r="P686" s="143"/>
      <c r="Q686" s="143"/>
    </row>
    <row r="687" spans="1:17" s="44" customFormat="1" ht="30" customHeight="1" x14ac:dyDescent="0.35">
      <c r="A687" s="148" t="s">
        <v>535</v>
      </c>
      <c r="B687" s="148"/>
      <c r="C687" s="148"/>
      <c r="D687" s="148"/>
      <c r="E687" s="148"/>
      <c r="F687" s="157"/>
      <c r="G687" s="142"/>
      <c r="H687" s="142"/>
      <c r="I687" s="142"/>
      <c r="J687" s="142"/>
      <c r="K687" s="142"/>
      <c r="L687" s="142"/>
      <c r="M687" s="142"/>
      <c r="N687" s="142"/>
      <c r="O687" s="142"/>
      <c r="P687" s="142"/>
      <c r="Q687" s="142"/>
    </row>
    <row r="688" spans="1:17" s="44" customFormat="1" ht="30" customHeight="1" x14ac:dyDescent="0.35">
      <c r="A688" s="148" t="s">
        <v>536</v>
      </c>
      <c r="B688" s="148"/>
      <c r="C688" s="148"/>
      <c r="D688" s="148"/>
      <c r="E688" s="148"/>
      <c r="F688" s="157"/>
      <c r="G688" s="142"/>
      <c r="H688" s="142"/>
      <c r="I688" s="142"/>
      <c r="J688" s="142"/>
      <c r="K688" s="142"/>
      <c r="L688" s="142"/>
      <c r="M688" s="142"/>
      <c r="N688" s="142"/>
      <c r="O688" s="142"/>
      <c r="P688" s="142"/>
      <c r="Q688" s="142"/>
    </row>
    <row r="689" spans="1:17" s="44" customFormat="1" ht="30" customHeight="1" x14ac:dyDescent="0.35">
      <c r="A689" s="148" t="s">
        <v>537</v>
      </c>
      <c r="B689" s="148"/>
      <c r="C689" s="148"/>
      <c r="D689" s="148"/>
      <c r="E689" s="148"/>
      <c r="F689" s="157"/>
      <c r="G689" s="142"/>
      <c r="H689" s="142"/>
      <c r="I689" s="142"/>
      <c r="J689" s="142"/>
      <c r="K689" s="142"/>
      <c r="L689" s="142"/>
      <c r="M689" s="142"/>
      <c r="N689" s="142"/>
      <c r="O689" s="142"/>
      <c r="P689" s="142"/>
      <c r="Q689" s="142"/>
    </row>
    <row r="690" spans="1:17" s="44" customFormat="1" ht="30" customHeight="1" x14ac:dyDescent="0.35">
      <c r="A690" s="143" t="s">
        <v>538</v>
      </c>
      <c r="B690" s="144"/>
      <c r="C690" s="144"/>
      <c r="D690" s="144"/>
      <c r="E690" s="144"/>
      <c r="F690" s="145"/>
      <c r="G690" s="143"/>
      <c r="H690" s="143"/>
      <c r="I690" s="143"/>
      <c r="J690" s="143"/>
      <c r="K690" s="143"/>
      <c r="L690" s="143"/>
      <c r="M690" s="143"/>
      <c r="N690" s="143"/>
      <c r="O690" s="143"/>
      <c r="P690" s="143"/>
      <c r="Q690" s="143"/>
    </row>
    <row r="691" spans="1:17" s="44" customFormat="1" ht="30" customHeight="1" x14ac:dyDescent="0.35">
      <c r="A691" s="148" t="s">
        <v>539</v>
      </c>
      <c r="B691" s="148"/>
      <c r="C691" s="148"/>
      <c r="D691" s="148"/>
      <c r="E691" s="148"/>
      <c r="F691" s="157"/>
      <c r="G691" s="142"/>
      <c r="H691" s="142"/>
      <c r="I691" s="142"/>
      <c r="J691" s="142"/>
      <c r="K691" s="142"/>
      <c r="L691" s="142"/>
      <c r="M691" s="142"/>
      <c r="N691" s="142"/>
      <c r="O691" s="142"/>
      <c r="P691" s="142"/>
      <c r="Q691" s="142"/>
    </row>
    <row r="692" spans="1:17" s="44" customFormat="1" ht="30" customHeight="1" x14ac:dyDescent="0.35">
      <c r="A692" s="148" t="s">
        <v>540</v>
      </c>
      <c r="B692" s="148"/>
      <c r="C692" s="148"/>
      <c r="D692" s="148"/>
      <c r="E692" s="148"/>
      <c r="F692" s="157"/>
      <c r="G692" s="142"/>
      <c r="H692" s="142"/>
      <c r="I692" s="142"/>
      <c r="J692" s="142"/>
      <c r="K692" s="142"/>
      <c r="L692" s="142"/>
      <c r="M692" s="142"/>
      <c r="N692" s="142"/>
      <c r="O692" s="142"/>
      <c r="P692" s="142"/>
      <c r="Q692" s="142"/>
    </row>
    <row r="693" spans="1:17" s="166" customFormat="1" ht="30" customHeight="1" x14ac:dyDescent="0.35">
      <c r="A693" s="143" t="s">
        <v>541</v>
      </c>
      <c r="B693" s="144"/>
      <c r="C693" s="144"/>
      <c r="D693" s="144"/>
      <c r="E693" s="144"/>
      <c r="F693" s="145"/>
      <c r="G693" s="143"/>
      <c r="H693" s="143"/>
      <c r="I693" s="143"/>
      <c r="J693" s="143"/>
      <c r="K693" s="143"/>
      <c r="L693" s="143"/>
      <c r="M693" s="143"/>
      <c r="N693" s="143"/>
      <c r="O693" s="143"/>
      <c r="P693" s="143"/>
      <c r="Q693" s="143"/>
    </row>
    <row r="694" spans="1:17" s="166" customFormat="1" ht="30" customHeight="1" x14ac:dyDescent="0.35">
      <c r="A694" s="148" t="s">
        <v>542</v>
      </c>
      <c r="B694" s="148"/>
      <c r="C694" s="148"/>
      <c r="D694" s="148"/>
      <c r="E694" s="148"/>
      <c r="F694" s="15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</row>
    <row r="695" spans="1:17" s="166" customFormat="1" ht="30" customHeight="1" x14ac:dyDescent="0.35">
      <c r="A695" s="148" t="s">
        <v>543</v>
      </c>
      <c r="B695" s="148"/>
      <c r="C695" s="148"/>
      <c r="D695" s="148"/>
      <c r="E695" s="148"/>
      <c r="F695" s="15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</row>
    <row r="696" spans="1:17" s="166" customFormat="1" ht="30" customHeight="1" x14ac:dyDescent="0.35">
      <c r="A696" s="148" t="s">
        <v>544</v>
      </c>
      <c r="B696" s="148"/>
      <c r="C696" s="148"/>
      <c r="D696" s="148"/>
      <c r="E696" s="148"/>
      <c r="F696" s="15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</row>
    <row r="697" spans="1:17" s="166" customFormat="1" ht="30" customHeight="1" x14ac:dyDescent="0.35">
      <c r="A697" s="148" t="s">
        <v>545</v>
      </c>
      <c r="B697" s="148"/>
      <c r="C697" s="148"/>
      <c r="D697" s="148"/>
      <c r="E697" s="148"/>
      <c r="F697" s="15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</row>
    <row r="698" spans="1:17" s="166" customFormat="1" ht="30" customHeight="1" x14ac:dyDescent="0.35">
      <c r="A698" s="148" t="s">
        <v>546</v>
      </c>
      <c r="B698" s="148"/>
      <c r="C698" s="148"/>
      <c r="D698" s="148"/>
      <c r="E698" s="148"/>
      <c r="F698" s="15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</row>
    <row r="699" spans="1:17" s="168" customFormat="1" ht="30" customHeight="1" x14ac:dyDescent="0.35">
      <c r="A699" s="143" t="s">
        <v>547</v>
      </c>
      <c r="B699" s="144"/>
      <c r="C699" s="144"/>
      <c r="D699" s="144"/>
      <c r="E699" s="144"/>
      <c r="F699" s="145"/>
      <c r="G699" s="143"/>
      <c r="H699" s="143"/>
      <c r="I699" s="143"/>
      <c r="J699" s="143"/>
      <c r="K699" s="143"/>
      <c r="L699" s="143"/>
      <c r="M699" s="143"/>
      <c r="N699" s="143"/>
      <c r="O699" s="143"/>
      <c r="P699" s="143"/>
      <c r="Q699" s="143"/>
    </row>
    <row r="700" spans="1:17" s="168" customFormat="1" ht="30" customHeight="1" x14ac:dyDescent="0.35">
      <c r="A700" s="148" t="s">
        <v>548</v>
      </c>
      <c r="B700" s="148"/>
      <c r="C700" s="148"/>
      <c r="D700" s="148"/>
      <c r="E700" s="148"/>
      <c r="F700" s="15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</row>
    <row r="701" spans="1:17" s="168" customFormat="1" ht="30" customHeight="1" x14ac:dyDescent="0.35">
      <c r="A701" s="148" t="s">
        <v>549</v>
      </c>
      <c r="B701" s="148"/>
      <c r="C701" s="148"/>
      <c r="D701" s="148"/>
      <c r="E701" s="148"/>
      <c r="F701" s="15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</row>
    <row r="702" spans="1:17" s="44" customFormat="1" ht="30" customHeight="1" x14ac:dyDescent="0.35">
      <c r="A702" s="143" t="s">
        <v>550</v>
      </c>
      <c r="B702" s="144"/>
      <c r="C702" s="144"/>
      <c r="D702" s="144"/>
      <c r="E702" s="144"/>
      <c r="F702" s="145"/>
      <c r="G702" s="143"/>
      <c r="H702" s="143"/>
      <c r="I702" s="143"/>
      <c r="J702" s="143"/>
      <c r="K702" s="143"/>
      <c r="L702" s="143"/>
      <c r="M702" s="143"/>
      <c r="N702" s="143"/>
      <c r="O702" s="143"/>
      <c r="P702" s="143"/>
      <c r="Q702" s="143"/>
    </row>
    <row r="703" spans="1:17" s="44" customFormat="1" ht="30" customHeight="1" x14ac:dyDescent="0.35">
      <c r="A703" s="148" t="s">
        <v>551</v>
      </c>
      <c r="B703" s="148"/>
      <c r="C703" s="148"/>
      <c r="D703" s="148"/>
      <c r="E703" s="148"/>
      <c r="F703" s="15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</row>
    <row r="704" spans="1:17" s="44" customFormat="1" ht="30" customHeight="1" x14ac:dyDescent="0.35">
      <c r="A704" s="143" t="s">
        <v>552</v>
      </c>
      <c r="B704" s="144"/>
      <c r="C704" s="144"/>
      <c r="D704" s="144"/>
      <c r="E704" s="144"/>
      <c r="F704" s="145"/>
      <c r="G704" s="143"/>
      <c r="H704" s="143"/>
      <c r="I704" s="143"/>
      <c r="J704" s="143"/>
      <c r="K704" s="143"/>
      <c r="L704" s="143"/>
      <c r="M704" s="143"/>
      <c r="N704" s="143"/>
      <c r="O704" s="143"/>
      <c r="P704" s="143"/>
      <c r="Q704" s="143"/>
    </row>
    <row r="705" spans="1:17" s="44" customFormat="1" ht="30" customHeight="1" x14ac:dyDescent="0.35">
      <c r="A705" s="169" t="s">
        <v>553</v>
      </c>
      <c r="B705" s="148"/>
      <c r="C705" s="148"/>
      <c r="D705" s="148"/>
      <c r="E705" s="148"/>
      <c r="F705" s="15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</row>
    <row r="706" spans="1:17" s="44" customFormat="1" ht="30" customHeight="1" x14ac:dyDescent="0.35">
      <c r="A706" s="169" t="s">
        <v>554</v>
      </c>
      <c r="B706" s="148"/>
      <c r="C706" s="148"/>
      <c r="D706" s="148"/>
      <c r="E706" s="148"/>
      <c r="F706" s="15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</row>
    <row r="707" spans="1:17" s="44" customFormat="1" ht="30" customHeight="1" x14ac:dyDescent="0.35">
      <c r="A707" s="143" t="s">
        <v>555</v>
      </c>
      <c r="B707" s="144"/>
      <c r="C707" s="144"/>
      <c r="D707" s="144"/>
      <c r="E707" s="144"/>
      <c r="F707" s="145"/>
      <c r="G707" s="143"/>
      <c r="H707" s="143"/>
      <c r="I707" s="143"/>
      <c r="J707" s="143"/>
      <c r="K707" s="143"/>
      <c r="L707" s="143"/>
      <c r="M707" s="143"/>
      <c r="N707" s="143"/>
      <c r="O707" s="143"/>
      <c r="P707" s="143"/>
      <c r="Q707" s="143"/>
    </row>
    <row r="708" spans="1:17" s="44" customFormat="1" ht="30" customHeight="1" x14ac:dyDescent="0.35">
      <c r="A708" s="169" t="s">
        <v>556</v>
      </c>
      <c r="B708" s="148"/>
      <c r="C708" s="148"/>
      <c r="D708" s="148"/>
      <c r="E708" s="148"/>
      <c r="F708" s="15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</row>
    <row r="709" spans="1:17" s="44" customFormat="1" ht="30" customHeight="1" x14ac:dyDescent="0.35">
      <c r="A709" s="169" t="s">
        <v>557</v>
      </c>
      <c r="B709" s="148"/>
      <c r="C709" s="148"/>
      <c r="D709" s="148"/>
      <c r="E709" s="148"/>
      <c r="F709" s="15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</row>
    <row r="710" spans="1:17" s="44" customFormat="1" ht="30" customHeight="1" x14ac:dyDescent="0.35">
      <c r="A710" s="169" t="s">
        <v>558</v>
      </c>
      <c r="B710" s="148"/>
      <c r="C710" s="148"/>
      <c r="D710" s="148"/>
      <c r="E710" s="148"/>
      <c r="F710" s="15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</row>
    <row r="711" spans="1:17" s="44" customFormat="1" ht="30" customHeight="1" x14ac:dyDescent="0.35">
      <c r="A711" s="169" t="s">
        <v>559</v>
      </c>
      <c r="B711" s="148"/>
      <c r="C711" s="148"/>
      <c r="D711" s="148"/>
      <c r="E711" s="148"/>
      <c r="F711" s="15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</row>
    <row r="712" spans="1:17" s="44" customFormat="1" ht="30" customHeight="1" x14ac:dyDescent="0.35">
      <c r="A712" s="169" t="s">
        <v>560</v>
      </c>
      <c r="B712" s="148"/>
      <c r="C712" s="148"/>
      <c r="D712" s="148"/>
      <c r="E712" s="148"/>
      <c r="F712" s="15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</row>
    <row r="713" spans="1:17" s="44" customFormat="1" ht="30" customHeight="1" x14ac:dyDescent="0.35">
      <c r="A713" s="169" t="s">
        <v>561</v>
      </c>
      <c r="B713" s="148"/>
      <c r="C713" s="148"/>
      <c r="D713" s="148"/>
      <c r="E713" s="148"/>
      <c r="F713" s="15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</row>
    <row r="714" spans="1:17" s="44" customFormat="1" ht="30" customHeight="1" x14ac:dyDescent="0.35">
      <c r="A714" s="169" t="s">
        <v>562</v>
      </c>
      <c r="B714" s="148"/>
      <c r="C714" s="148"/>
      <c r="D714" s="148"/>
      <c r="E714" s="148"/>
      <c r="F714" s="15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</row>
    <row r="715" spans="1:17" s="44" customFormat="1" ht="30" customHeight="1" x14ac:dyDescent="0.35">
      <c r="A715" s="169" t="s">
        <v>563</v>
      </c>
      <c r="B715" s="148"/>
      <c r="C715" s="148"/>
      <c r="D715" s="148"/>
      <c r="E715" s="148"/>
      <c r="F715" s="15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</row>
    <row r="716" spans="1:17" s="44" customFormat="1" ht="30" customHeight="1" x14ac:dyDescent="0.35">
      <c r="A716" s="169" t="s">
        <v>564</v>
      </c>
      <c r="B716" s="148"/>
      <c r="C716" s="148"/>
      <c r="D716" s="148"/>
      <c r="E716" s="148"/>
      <c r="F716" s="15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</row>
    <row r="717" spans="1:17" s="44" customFormat="1" ht="30" customHeight="1" x14ac:dyDescent="0.35">
      <c r="A717" s="169" t="s">
        <v>565</v>
      </c>
      <c r="B717" s="148"/>
      <c r="C717" s="148"/>
      <c r="D717" s="148"/>
      <c r="E717" s="148"/>
      <c r="F717" s="15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</row>
    <row r="718" spans="1:17" s="44" customFormat="1" ht="30" customHeight="1" x14ac:dyDescent="0.35">
      <c r="A718" s="169" t="s">
        <v>566</v>
      </c>
      <c r="B718" s="148"/>
      <c r="C718" s="148"/>
      <c r="D718" s="148"/>
      <c r="E718" s="148"/>
      <c r="F718" s="15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</row>
    <row r="719" spans="1:17" s="44" customFormat="1" ht="30" customHeight="1" x14ac:dyDescent="0.35">
      <c r="A719" s="169" t="s">
        <v>567</v>
      </c>
      <c r="B719" s="148"/>
      <c r="C719" s="148"/>
      <c r="D719" s="148"/>
      <c r="E719" s="148"/>
      <c r="F719" s="15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</row>
    <row r="720" spans="1:17" s="44" customFormat="1" ht="30" customHeight="1" x14ac:dyDescent="0.35">
      <c r="A720" s="169" t="s">
        <v>568</v>
      </c>
      <c r="B720" s="148"/>
      <c r="C720" s="148"/>
      <c r="D720" s="148"/>
      <c r="E720" s="148"/>
      <c r="F720" s="15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</row>
    <row r="721" spans="1:17" s="44" customFormat="1" ht="30" customHeight="1" x14ac:dyDescent="0.35">
      <c r="A721" s="169" t="s">
        <v>569</v>
      </c>
      <c r="B721" s="148"/>
      <c r="C721" s="148"/>
      <c r="D721" s="148"/>
      <c r="E721" s="148"/>
      <c r="F721" s="15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</row>
    <row r="722" spans="1:17" s="44" customFormat="1" ht="30" customHeight="1" x14ac:dyDescent="0.35">
      <c r="A722" s="169" t="s">
        <v>570</v>
      </c>
      <c r="B722" s="148"/>
      <c r="C722" s="148"/>
      <c r="D722" s="148"/>
      <c r="E722" s="148"/>
      <c r="F722" s="15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</row>
    <row r="723" spans="1:17" s="44" customFormat="1" ht="30" customHeight="1" x14ac:dyDescent="0.35">
      <c r="A723" s="169" t="s">
        <v>571</v>
      </c>
      <c r="B723" s="148"/>
      <c r="C723" s="148"/>
      <c r="D723" s="148"/>
      <c r="E723" s="148"/>
      <c r="F723" s="15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</row>
    <row r="724" spans="1:17" s="44" customFormat="1" ht="30" customHeight="1" x14ac:dyDescent="0.35">
      <c r="A724" s="169" t="s">
        <v>572</v>
      </c>
      <c r="B724" s="148"/>
      <c r="C724" s="148"/>
      <c r="D724" s="148"/>
      <c r="E724" s="148"/>
      <c r="F724" s="15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</row>
    <row r="725" spans="1:17" s="44" customFormat="1" ht="30" customHeight="1" x14ac:dyDescent="0.35">
      <c r="A725" s="169" t="s">
        <v>573</v>
      </c>
      <c r="B725" s="148"/>
      <c r="C725" s="148"/>
      <c r="D725" s="148"/>
      <c r="E725" s="148"/>
      <c r="F725" s="15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</row>
    <row r="726" spans="1:17" s="44" customFormat="1" ht="30" customHeight="1" x14ac:dyDescent="0.35">
      <c r="A726" s="169" t="s">
        <v>574</v>
      </c>
      <c r="B726" s="148"/>
      <c r="C726" s="148"/>
      <c r="D726" s="148"/>
      <c r="E726" s="148"/>
      <c r="F726" s="15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</row>
    <row r="727" spans="1:17" s="44" customFormat="1" ht="30" customHeight="1" x14ac:dyDescent="0.35">
      <c r="A727" s="169" t="s">
        <v>575</v>
      </c>
      <c r="B727" s="148"/>
      <c r="C727" s="148"/>
      <c r="D727" s="148"/>
      <c r="E727" s="148"/>
      <c r="F727" s="15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</row>
    <row r="728" spans="1:17" s="44" customFormat="1" ht="30" customHeight="1" x14ac:dyDescent="0.35">
      <c r="A728" s="169" t="s">
        <v>576</v>
      </c>
      <c r="B728" s="148"/>
      <c r="C728" s="148"/>
      <c r="D728" s="148"/>
      <c r="E728" s="148"/>
      <c r="F728" s="15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</row>
    <row r="729" spans="1:17" s="44" customFormat="1" ht="30" customHeight="1" x14ac:dyDescent="0.35">
      <c r="A729" s="169" t="s">
        <v>577</v>
      </c>
      <c r="B729" s="148"/>
      <c r="C729" s="148"/>
      <c r="D729" s="148"/>
      <c r="E729" s="148"/>
      <c r="F729" s="15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</row>
    <row r="730" spans="1:17" s="44" customFormat="1" ht="30" customHeight="1" x14ac:dyDescent="0.35">
      <c r="A730" s="169" t="s">
        <v>578</v>
      </c>
      <c r="B730" s="148"/>
      <c r="C730" s="148"/>
      <c r="D730" s="148"/>
      <c r="E730" s="148"/>
      <c r="F730" s="15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</row>
    <row r="731" spans="1:17" s="44" customFormat="1" ht="30" customHeight="1" x14ac:dyDescent="0.35">
      <c r="A731" s="169" t="s">
        <v>579</v>
      </c>
      <c r="B731" s="148"/>
      <c r="C731" s="148"/>
      <c r="D731" s="148"/>
      <c r="E731" s="148"/>
      <c r="F731" s="15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</row>
    <row r="732" spans="1:17" s="44" customFormat="1" ht="30" customHeight="1" x14ac:dyDescent="0.35">
      <c r="A732" s="169" t="s">
        <v>580</v>
      </c>
      <c r="B732" s="148"/>
      <c r="C732" s="148"/>
      <c r="D732" s="148"/>
      <c r="E732" s="148"/>
      <c r="F732" s="15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</row>
    <row r="733" spans="1:17" s="44" customFormat="1" ht="30" customHeight="1" x14ac:dyDescent="0.35">
      <c r="A733" s="169" t="s">
        <v>581</v>
      </c>
      <c r="B733" s="148"/>
      <c r="C733" s="148"/>
      <c r="D733" s="148"/>
      <c r="E733" s="148"/>
      <c r="F733" s="15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</row>
    <row r="734" spans="1:17" s="44" customFormat="1" ht="30" customHeight="1" x14ac:dyDescent="0.35">
      <c r="A734" s="169" t="s">
        <v>582</v>
      </c>
      <c r="B734" s="148"/>
      <c r="C734" s="148"/>
      <c r="D734" s="148"/>
      <c r="E734" s="148"/>
      <c r="F734" s="15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</row>
    <row r="735" spans="1:17" s="44" customFormat="1" ht="30" customHeight="1" x14ac:dyDescent="0.35">
      <c r="A735" s="169" t="s">
        <v>583</v>
      </c>
      <c r="B735" s="148"/>
      <c r="C735" s="148"/>
      <c r="D735" s="148"/>
      <c r="E735" s="148"/>
      <c r="F735" s="15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</row>
    <row r="736" spans="1:17" s="44" customFormat="1" ht="30" customHeight="1" x14ac:dyDescent="0.35">
      <c r="A736" s="169" t="s">
        <v>584</v>
      </c>
      <c r="B736" s="148"/>
      <c r="C736" s="148"/>
      <c r="D736" s="148"/>
      <c r="E736" s="148"/>
      <c r="F736" s="15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</row>
    <row r="737" spans="1:17" s="44" customFormat="1" ht="30" customHeight="1" x14ac:dyDescent="0.35">
      <c r="A737" s="169" t="s">
        <v>585</v>
      </c>
      <c r="B737" s="148"/>
      <c r="C737" s="148"/>
      <c r="D737" s="148"/>
      <c r="E737" s="148"/>
      <c r="F737" s="15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</row>
    <row r="738" spans="1:17" s="44" customFormat="1" ht="30" customHeight="1" x14ac:dyDescent="0.35">
      <c r="A738" s="169" t="s">
        <v>586</v>
      </c>
      <c r="B738" s="148"/>
      <c r="C738" s="148"/>
      <c r="D738" s="148"/>
      <c r="E738" s="148"/>
      <c r="F738" s="15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</row>
    <row r="739" spans="1:17" s="44" customFormat="1" ht="30" customHeight="1" x14ac:dyDescent="0.35">
      <c r="A739" s="169" t="s">
        <v>587</v>
      </c>
      <c r="B739" s="148"/>
      <c r="C739" s="148"/>
      <c r="D739" s="148"/>
      <c r="E739" s="148"/>
      <c r="F739" s="15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</row>
    <row r="740" spans="1:17" s="44" customFormat="1" ht="30" customHeight="1" x14ac:dyDescent="0.35">
      <c r="A740" s="169" t="s">
        <v>588</v>
      </c>
      <c r="B740" s="148"/>
      <c r="C740" s="148"/>
      <c r="D740" s="148"/>
      <c r="E740" s="148"/>
      <c r="F740" s="15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</row>
    <row r="741" spans="1:17" s="44" customFormat="1" ht="30" customHeight="1" x14ac:dyDescent="0.35">
      <c r="A741" s="169" t="s">
        <v>589</v>
      </c>
      <c r="B741" s="148"/>
      <c r="C741" s="148"/>
      <c r="D741" s="148"/>
      <c r="E741" s="148"/>
      <c r="F741" s="15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</row>
    <row r="742" spans="1:17" s="44" customFormat="1" ht="30" customHeight="1" x14ac:dyDescent="0.35">
      <c r="A742" s="169" t="s">
        <v>590</v>
      </c>
      <c r="B742" s="148"/>
      <c r="C742" s="148"/>
      <c r="D742" s="148"/>
      <c r="E742" s="148"/>
      <c r="F742" s="15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</row>
    <row r="743" spans="1:17" s="44" customFormat="1" ht="30" customHeight="1" x14ac:dyDescent="0.35">
      <c r="A743" s="169" t="s">
        <v>591</v>
      </c>
      <c r="B743" s="148"/>
      <c r="C743" s="148"/>
      <c r="D743" s="148"/>
      <c r="E743" s="148"/>
      <c r="F743" s="15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</row>
    <row r="744" spans="1:17" s="44" customFormat="1" ht="30" customHeight="1" x14ac:dyDescent="0.35">
      <c r="A744" s="169" t="s">
        <v>592</v>
      </c>
      <c r="B744" s="148"/>
      <c r="C744" s="148"/>
      <c r="D744" s="148"/>
      <c r="E744" s="148"/>
      <c r="F744" s="15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</row>
    <row r="745" spans="1:17" s="44" customFormat="1" ht="30" customHeight="1" x14ac:dyDescent="0.35">
      <c r="A745" s="169" t="s">
        <v>593</v>
      </c>
      <c r="B745" s="148"/>
      <c r="C745" s="148"/>
      <c r="D745" s="148"/>
      <c r="E745" s="148"/>
      <c r="F745" s="15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</row>
    <row r="746" spans="1:17" s="44" customFormat="1" ht="30" customHeight="1" x14ac:dyDescent="0.35">
      <c r="A746" s="169" t="s">
        <v>594</v>
      </c>
      <c r="B746" s="148"/>
      <c r="C746" s="148"/>
      <c r="D746" s="148"/>
      <c r="E746" s="148"/>
      <c r="F746" s="15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</row>
    <row r="747" spans="1:17" s="44" customFormat="1" ht="30" customHeight="1" x14ac:dyDescent="0.35">
      <c r="A747" s="169" t="s">
        <v>595</v>
      </c>
      <c r="B747" s="148"/>
      <c r="C747" s="148"/>
      <c r="D747" s="148"/>
      <c r="E747" s="148"/>
      <c r="F747" s="15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</row>
    <row r="748" spans="1:17" s="44" customFormat="1" ht="30" customHeight="1" x14ac:dyDescent="0.35">
      <c r="A748" s="169" t="s">
        <v>596</v>
      </c>
      <c r="B748" s="148"/>
      <c r="C748" s="148"/>
      <c r="D748" s="148"/>
      <c r="E748" s="148"/>
      <c r="F748" s="15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</row>
    <row r="749" spans="1:17" s="44" customFormat="1" ht="30" customHeight="1" x14ac:dyDescent="0.35">
      <c r="A749" s="169" t="s">
        <v>597</v>
      </c>
      <c r="B749" s="148"/>
      <c r="C749" s="148"/>
      <c r="D749" s="148"/>
      <c r="E749" s="148"/>
      <c r="F749" s="15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</row>
    <row r="750" spans="1:17" s="44" customFormat="1" ht="30" customHeight="1" x14ac:dyDescent="0.35">
      <c r="A750" s="169" t="s">
        <v>598</v>
      </c>
      <c r="B750" s="148"/>
      <c r="C750" s="148"/>
      <c r="D750" s="148"/>
      <c r="E750" s="148"/>
      <c r="F750" s="15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</row>
    <row r="751" spans="1:17" s="44" customFormat="1" ht="30" customHeight="1" x14ac:dyDescent="0.35">
      <c r="A751" s="169" t="s">
        <v>599</v>
      </c>
      <c r="B751" s="148"/>
      <c r="C751" s="148"/>
      <c r="D751" s="148"/>
      <c r="E751" s="148"/>
      <c r="F751" s="15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</row>
    <row r="752" spans="1:17" s="44" customFormat="1" ht="30" customHeight="1" x14ac:dyDescent="0.35">
      <c r="A752" s="169" t="s">
        <v>600</v>
      </c>
      <c r="B752" s="148"/>
      <c r="C752" s="148"/>
      <c r="D752" s="148"/>
      <c r="E752" s="148"/>
      <c r="F752" s="15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</row>
    <row r="753" spans="1:17" s="44" customFormat="1" ht="30" customHeight="1" x14ac:dyDescent="0.35">
      <c r="A753" s="169" t="s">
        <v>601</v>
      </c>
      <c r="B753" s="148"/>
      <c r="C753" s="148"/>
      <c r="D753" s="148"/>
      <c r="E753" s="148"/>
      <c r="F753" s="15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</row>
    <row r="754" spans="1:17" s="44" customFormat="1" ht="30" customHeight="1" x14ac:dyDescent="0.35">
      <c r="A754" s="169" t="s">
        <v>602</v>
      </c>
      <c r="B754" s="148"/>
      <c r="C754" s="148"/>
      <c r="D754" s="148"/>
      <c r="E754" s="148"/>
      <c r="F754" s="15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</row>
    <row r="755" spans="1:17" s="44" customFormat="1" ht="30" customHeight="1" x14ac:dyDescent="0.35">
      <c r="A755" s="169" t="s">
        <v>603</v>
      </c>
      <c r="B755" s="148"/>
      <c r="C755" s="148"/>
      <c r="D755" s="148"/>
      <c r="E755" s="148"/>
      <c r="F755" s="15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</row>
    <row r="756" spans="1:17" s="44" customFormat="1" ht="30" customHeight="1" x14ac:dyDescent="0.35">
      <c r="A756" s="169" t="s">
        <v>604</v>
      </c>
      <c r="B756" s="148"/>
      <c r="C756" s="148"/>
      <c r="D756" s="148"/>
      <c r="E756" s="148"/>
      <c r="F756" s="15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</row>
    <row r="757" spans="1:17" s="44" customFormat="1" ht="30" customHeight="1" x14ac:dyDescent="0.35">
      <c r="A757" s="169" t="s">
        <v>605</v>
      </c>
      <c r="B757" s="148"/>
      <c r="C757" s="148"/>
      <c r="D757" s="148"/>
      <c r="E757" s="148"/>
      <c r="F757" s="15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</row>
    <row r="758" spans="1:17" s="44" customFormat="1" ht="30" customHeight="1" x14ac:dyDescent="0.35">
      <c r="A758" s="169" t="s">
        <v>606</v>
      </c>
      <c r="B758" s="169"/>
      <c r="C758" s="148"/>
      <c r="D758" s="148"/>
      <c r="E758" s="148"/>
      <c r="F758" s="148"/>
      <c r="G758" s="15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</row>
    <row r="759" spans="1:17" s="44" customFormat="1" ht="30" customHeight="1" x14ac:dyDescent="0.35">
      <c r="A759" s="169" t="s">
        <v>607</v>
      </c>
      <c r="B759" s="169"/>
      <c r="C759" s="148"/>
      <c r="D759" s="148"/>
      <c r="E759" s="148"/>
      <c r="F759" s="148"/>
      <c r="G759" s="15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</row>
    <row r="760" spans="1:17" s="44" customFormat="1" ht="30" customHeight="1" x14ac:dyDescent="0.35">
      <c r="A760" s="169" t="s">
        <v>608</v>
      </c>
      <c r="B760" s="169"/>
      <c r="C760" s="148"/>
      <c r="D760" s="148"/>
      <c r="E760" s="148"/>
      <c r="F760" s="148"/>
      <c r="G760" s="15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</row>
    <row r="761" spans="1:17" s="44" customFormat="1" ht="30" customHeight="1" x14ac:dyDescent="0.35">
      <c r="A761" s="169" t="s">
        <v>609</v>
      </c>
      <c r="B761" s="169"/>
      <c r="C761" s="148"/>
      <c r="D761" s="148"/>
      <c r="E761" s="148"/>
      <c r="F761" s="148"/>
      <c r="G761" s="15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</row>
    <row r="762" spans="1:17" s="44" customFormat="1" ht="30" customHeight="1" x14ac:dyDescent="0.35">
      <c r="A762" s="143" t="s">
        <v>610</v>
      </c>
      <c r="B762" s="144"/>
      <c r="C762" s="144"/>
      <c r="D762" s="144"/>
      <c r="E762" s="144"/>
      <c r="F762" s="145"/>
      <c r="G762" s="143"/>
      <c r="H762" s="143"/>
      <c r="I762" s="143"/>
      <c r="J762" s="143"/>
      <c r="K762" s="143"/>
      <c r="L762" s="143"/>
      <c r="M762" s="143"/>
      <c r="N762" s="143"/>
      <c r="O762" s="143"/>
      <c r="P762" s="143"/>
      <c r="Q762" s="143"/>
    </row>
    <row r="763" spans="1:17" s="44" customFormat="1" ht="30" customHeight="1" x14ac:dyDescent="0.35">
      <c r="A763" s="169" t="s">
        <v>611</v>
      </c>
      <c r="B763" s="148"/>
      <c r="C763" s="148"/>
      <c r="D763" s="148"/>
      <c r="E763" s="148"/>
      <c r="F763" s="15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</row>
    <row r="764" spans="1:17" s="44" customFormat="1" ht="30" customHeight="1" x14ac:dyDescent="0.35">
      <c r="A764" s="169" t="s">
        <v>612</v>
      </c>
      <c r="B764" s="148"/>
      <c r="C764" s="148"/>
      <c r="D764" s="148"/>
      <c r="E764" s="148"/>
      <c r="F764" s="15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</row>
    <row r="765" spans="1:17" s="44" customFormat="1" ht="30" customHeight="1" x14ac:dyDescent="0.35">
      <c r="A765" s="169" t="s">
        <v>613</v>
      </c>
      <c r="B765" s="148"/>
      <c r="C765" s="148"/>
      <c r="D765" s="148"/>
      <c r="E765" s="148"/>
      <c r="F765" s="15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</row>
    <row r="766" spans="1:17" s="44" customFormat="1" ht="30" customHeight="1" x14ac:dyDescent="0.35">
      <c r="A766" s="169" t="s">
        <v>614</v>
      </c>
      <c r="B766" s="148"/>
      <c r="C766" s="148"/>
      <c r="D766" s="148"/>
      <c r="E766" s="148"/>
      <c r="F766" s="15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</row>
    <row r="767" spans="1:17" s="44" customFormat="1" ht="30" customHeight="1" x14ac:dyDescent="0.35">
      <c r="A767" s="169" t="s">
        <v>615</v>
      </c>
      <c r="B767" s="148"/>
      <c r="C767" s="148"/>
      <c r="D767" s="148"/>
      <c r="E767" s="148"/>
      <c r="F767" s="15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</row>
    <row r="768" spans="1:17" s="44" customFormat="1" ht="30" customHeight="1" x14ac:dyDescent="0.35">
      <c r="A768" s="169" t="s">
        <v>616</v>
      </c>
      <c r="B768" s="148"/>
      <c r="C768" s="148"/>
      <c r="D768" s="148"/>
      <c r="E768" s="148"/>
      <c r="F768" s="15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</row>
    <row r="769" spans="1:17" s="44" customFormat="1" ht="30" customHeight="1" x14ac:dyDescent="0.35">
      <c r="A769" s="169" t="s">
        <v>617</v>
      </c>
      <c r="B769" s="148"/>
      <c r="C769" s="148"/>
      <c r="D769" s="148"/>
      <c r="E769" s="148"/>
      <c r="F769" s="15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</row>
    <row r="770" spans="1:17" s="44" customFormat="1" ht="30" customHeight="1" x14ac:dyDescent="0.35">
      <c r="A770" s="169" t="s">
        <v>618</v>
      </c>
      <c r="B770" s="148"/>
      <c r="C770" s="148"/>
      <c r="D770" s="148"/>
      <c r="E770" s="148"/>
      <c r="F770" s="15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</row>
    <row r="771" spans="1:17" s="44" customFormat="1" ht="30" customHeight="1" x14ac:dyDescent="0.35">
      <c r="A771" s="169" t="s">
        <v>619</v>
      </c>
      <c r="B771" s="148"/>
      <c r="C771" s="148"/>
      <c r="D771" s="148"/>
      <c r="E771" s="148"/>
      <c r="F771" s="15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</row>
    <row r="772" spans="1:17" s="44" customFormat="1" ht="30" customHeight="1" x14ac:dyDescent="0.35">
      <c r="A772" s="169" t="s">
        <v>620</v>
      </c>
      <c r="B772" s="148"/>
      <c r="C772" s="148"/>
      <c r="D772" s="148"/>
      <c r="E772" s="148"/>
      <c r="F772" s="15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</row>
    <row r="773" spans="1:17" s="44" customFormat="1" ht="30" customHeight="1" x14ac:dyDescent="0.35">
      <c r="A773" s="169" t="s">
        <v>621</v>
      </c>
      <c r="B773" s="148"/>
      <c r="C773" s="148"/>
      <c r="D773" s="148"/>
      <c r="E773" s="148"/>
      <c r="F773" s="157"/>
      <c r="G773" s="167"/>
      <c r="H773" s="167"/>
      <c r="I773" s="170"/>
      <c r="J773" s="170"/>
      <c r="K773" s="167"/>
      <c r="L773" s="167"/>
      <c r="M773" s="167"/>
      <c r="N773" s="167"/>
      <c r="O773" s="167"/>
      <c r="P773" s="167"/>
      <c r="Q773" s="167"/>
    </row>
    <row r="774" spans="1:17" s="44" customFormat="1" ht="30" customHeight="1" x14ac:dyDescent="0.35">
      <c r="A774" s="169" t="s">
        <v>622</v>
      </c>
      <c r="B774" s="148"/>
      <c r="C774" s="148"/>
      <c r="D774" s="148"/>
      <c r="E774" s="148"/>
      <c r="F774" s="15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</row>
    <row r="775" spans="1:17" s="44" customFormat="1" ht="30" customHeight="1" x14ac:dyDescent="0.35">
      <c r="A775" s="169" t="s">
        <v>623</v>
      </c>
      <c r="B775" s="148"/>
      <c r="C775" s="148"/>
      <c r="D775" s="148"/>
      <c r="E775" s="148"/>
      <c r="F775" s="15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</row>
    <row r="776" spans="1:17" s="44" customFormat="1" ht="30" customHeight="1" x14ac:dyDescent="0.35">
      <c r="A776" s="143" t="s">
        <v>624</v>
      </c>
      <c r="B776" s="144"/>
      <c r="C776" s="144"/>
      <c r="D776" s="144"/>
      <c r="E776" s="144"/>
      <c r="F776" s="145"/>
      <c r="G776" s="143"/>
      <c r="H776" s="143"/>
      <c r="I776" s="143"/>
      <c r="J776" s="143"/>
      <c r="K776" s="143"/>
      <c r="L776" s="143"/>
      <c r="M776" s="143"/>
      <c r="N776" s="143"/>
      <c r="O776" s="143"/>
      <c r="P776" s="143"/>
      <c r="Q776" s="143"/>
    </row>
    <row r="777" spans="1:17" s="44" customFormat="1" ht="30" customHeight="1" x14ac:dyDescent="0.35">
      <c r="A777" s="169" t="s">
        <v>625</v>
      </c>
      <c r="B777" s="148"/>
      <c r="C777" s="148"/>
      <c r="D777" s="148"/>
      <c r="E777" s="148"/>
      <c r="F777" s="15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</row>
    <row r="778" spans="1:17" s="44" customFormat="1" ht="26" x14ac:dyDescent="0.35">
      <c r="A778" s="171"/>
      <c r="B778" s="169" t="s">
        <v>626</v>
      </c>
      <c r="C778" s="148"/>
      <c r="D778" s="148"/>
      <c r="E778" s="148"/>
      <c r="F778" s="15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</row>
    <row r="779" spans="1:17" s="44" customFormat="1" ht="30" customHeight="1" x14ac:dyDescent="0.35">
      <c r="A779" s="172"/>
      <c r="B779" s="169" t="s">
        <v>627</v>
      </c>
      <c r="C779" s="148"/>
      <c r="D779" s="148"/>
      <c r="E779" s="148"/>
      <c r="F779" s="15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</row>
    <row r="780" spans="1:17" s="44" customFormat="1" ht="30" customHeight="1" x14ac:dyDescent="0.35">
      <c r="A780" s="169" t="s">
        <v>628</v>
      </c>
      <c r="B780" s="148"/>
      <c r="C780" s="148"/>
      <c r="D780" s="148"/>
      <c r="E780" s="148"/>
      <c r="F780" s="15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</row>
    <row r="781" spans="1:17" s="44" customFormat="1" ht="30" customHeight="1" x14ac:dyDescent="0.35">
      <c r="A781" s="171"/>
      <c r="B781" s="169" t="s">
        <v>629</v>
      </c>
      <c r="C781" s="148"/>
      <c r="D781" s="148"/>
      <c r="E781" s="148"/>
      <c r="F781" s="15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</row>
    <row r="782" spans="1:17" s="44" customFormat="1" ht="30" customHeight="1" x14ac:dyDescent="0.35">
      <c r="A782" s="172"/>
      <c r="B782" s="169" t="s">
        <v>630</v>
      </c>
      <c r="C782" s="148"/>
      <c r="D782" s="148"/>
      <c r="E782" s="148"/>
      <c r="F782" s="15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</row>
    <row r="783" spans="1:17" s="44" customFormat="1" ht="30" customHeight="1" x14ac:dyDescent="0.35">
      <c r="A783" s="143" t="s">
        <v>631</v>
      </c>
      <c r="B783" s="144"/>
      <c r="C783" s="144"/>
      <c r="D783" s="144"/>
      <c r="E783" s="144"/>
      <c r="F783" s="145"/>
      <c r="G783" s="143"/>
      <c r="H783" s="143"/>
      <c r="I783" s="143"/>
      <c r="J783" s="143"/>
      <c r="K783" s="143"/>
      <c r="L783" s="143"/>
      <c r="M783" s="143"/>
      <c r="N783" s="143"/>
      <c r="O783" s="143"/>
      <c r="P783" s="143"/>
      <c r="Q783" s="143"/>
    </row>
    <row r="784" spans="1:17" s="44" customFormat="1" ht="30" customHeight="1" x14ac:dyDescent="0.35">
      <c r="A784" s="169" t="s">
        <v>632</v>
      </c>
      <c r="B784" s="148"/>
      <c r="C784" s="148"/>
      <c r="D784" s="148"/>
      <c r="E784" s="148"/>
      <c r="F784" s="15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</row>
    <row r="785" spans="1:17" s="44" customFormat="1" ht="30" customHeight="1" x14ac:dyDescent="0.35">
      <c r="A785" s="169" t="s">
        <v>633</v>
      </c>
      <c r="B785" s="148"/>
      <c r="C785" s="148"/>
      <c r="D785" s="148"/>
      <c r="E785" s="148"/>
      <c r="F785" s="15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</row>
    <row r="786" spans="1:17" s="44" customFormat="1" ht="30" customHeight="1" x14ac:dyDescent="0.35">
      <c r="A786" s="169" t="s">
        <v>634</v>
      </c>
      <c r="B786" s="148"/>
      <c r="C786" s="148"/>
      <c r="D786" s="148"/>
      <c r="E786" s="148"/>
      <c r="F786" s="15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</row>
    <row r="787" spans="1:17" s="44" customFormat="1" ht="30" customHeight="1" x14ac:dyDescent="0.35">
      <c r="A787" s="143" t="s">
        <v>635</v>
      </c>
      <c r="B787" s="144"/>
      <c r="C787" s="144"/>
      <c r="D787" s="144"/>
      <c r="E787" s="144"/>
      <c r="F787" s="145"/>
      <c r="G787" s="143"/>
      <c r="H787" s="143"/>
      <c r="I787" s="143"/>
      <c r="J787" s="143"/>
      <c r="K787" s="143"/>
      <c r="L787" s="143"/>
      <c r="M787" s="143"/>
      <c r="N787" s="143"/>
      <c r="O787" s="143"/>
      <c r="P787" s="143"/>
      <c r="Q787" s="143"/>
    </row>
    <row r="788" spans="1:17" s="44" customFormat="1" ht="30" customHeight="1" x14ac:dyDescent="0.35">
      <c r="A788" s="169" t="s">
        <v>636</v>
      </c>
      <c r="B788" s="148"/>
      <c r="C788" s="148"/>
      <c r="D788" s="148"/>
      <c r="E788" s="148"/>
      <c r="F788" s="15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</row>
    <row r="789" spans="1:17" s="44" customFormat="1" ht="30" customHeight="1" x14ac:dyDescent="0.35">
      <c r="A789" s="169" t="s">
        <v>637</v>
      </c>
      <c r="B789" s="148"/>
      <c r="C789" s="148"/>
      <c r="D789" s="148"/>
      <c r="E789" s="148"/>
      <c r="F789" s="15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</row>
    <row r="790" spans="1:17" s="44" customFormat="1" ht="30" customHeight="1" x14ac:dyDescent="0.35">
      <c r="A790" s="143" t="s">
        <v>638</v>
      </c>
      <c r="B790" s="144"/>
      <c r="C790" s="144"/>
      <c r="D790" s="144"/>
      <c r="E790" s="144"/>
      <c r="F790" s="145"/>
      <c r="G790" s="143"/>
      <c r="H790" s="143"/>
      <c r="I790" s="143"/>
      <c r="J790" s="143"/>
      <c r="K790" s="143"/>
      <c r="L790" s="143"/>
      <c r="M790" s="143"/>
      <c r="N790" s="143"/>
      <c r="O790" s="143"/>
      <c r="P790" s="143"/>
      <c r="Q790" s="143"/>
    </row>
    <row r="791" spans="1:17" s="44" customFormat="1" ht="30" customHeight="1" x14ac:dyDescent="0.35">
      <c r="A791" s="169" t="s">
        <v>639</v>
      </c>
      <c r="B791" s="148"/>
      <c r="C791" s="148"/>
      <c r="D791" s="148"/>
      <c r="E791" s="148"/>
      <c r="F791" s="157"/>
      <c r="G791" s="167"/>
      <c r="H791" s="167"/>
      <c r="I791" s="167"/>
      <c r="J791" s="167"/>
      <c r="K791" s="167"/>
      <c r="L791" s="167"/>
      <c r="M791" s="167"/>
      <c r="N791" s="167"/>
      <c r="O791" s="167"/>
      <c r="P791" s="173"/>
      <c r="Q791" s="173"/>
    </row>
    <row r="792" spans="1:17" s="44" customFormat="1" ht="30" customHeight="1" x14ac:dyDescent="0.35">
      <c r="A792" s="169" t="s">
        <v>640</v>
      </c>
      <c r="B792" s="148"/>
      <c r="C792" s="148"/>
      <c r="D792" s="148"/>
      <c r="E792" s="148"/>
      <c r="F792" s="157"/>
      <c r="G792" s="167"/>
      <c r="H792" s="167"/>
      <c r="I792" s="167"/>
      <c r="J792" s="167"/>
      <c r="K792" s="167"/>
      <c r="L792" s="167"/>
      <c r="M792" s="167"/>
      <c r="N792" s="167"/>
      <c r="O792" s="167"/>
      <c r="P792" s="173"/>
      <c r="Q792" s="173"/>
    </row>
    <row r="793" spans="1:17" s="44" customFormat="1" ht="30" customHeight="1" x14ac:dyDescent="0.35">
      <c r="A793" s="143" t="s">
        <v>749</v>
      </c>
      <c r="B793" s="144"/>
      <c r="C793" s="144"/>
      <c r="D793" s="144"/>
      <c r="E793" s="144"/>
      <c r="F793" s="145"/>
      <c r="G793" s="143"/>
      <c r="H793" s="143"/>
      <c r="I793" s="143"/>
      <c r="J793" s="143"/>
      <c r="K793" s="143"/>
      <c r="L793" s="143"/>
      <c r="M793" s="143"/>
      <c r="N793" s="143"/>
      <c r="O793" s="143"/>
      <c r="P793" s="174" t="s">
        <v>641</v>
      </c>
      <c r="Q793" s="174" t="s">
        <v>642</v>
      </c>
    </row>
    <row r="794" spans="1:17" s="44" customFormat="1" ht="30" customHeight="1" x14ac:dyDescent="0.35">
      <c r="A794" s="169" t="s">
        <v>643</v>
      </c>
      <c r="B794" s="148"/>
      <c r="C794" s="148"/>
      <c r="D794" s="148"/>
      <c r="E794" s="148"/>
      <c r="F794" s="157"/>
      <c r="G794" s="167"/>
      <c r="H794" s="167"/>
      <c r="I794" s="167"/>
      <c r="J794" s="167"/>
      <c r="K794" s="167"/>
      <c r="L794" s="167"/>
      <c r="M794" s="167"/>
      <c r="N794" s="167"/>
      <c r="O794" s="167"/>
      <c r="P794" s="173" t="s">
        <v>644</v>
      </c>
      <c r="Q794" s="173" t="s">
        <v>645</v>
      </c>
    </row>
    <row r="795" spans="1:17" s="44" customFormat="1" ht="30" customHeight="1" x14ac:dyDescent="0.35">
      <c r="A795" s="169" t="s">
        <v>646</v>
      </c>
      <c r="B795" s="148"/>
      <c r="C795" s="148"/>
      <c r="D795" s="148"/>
      <c r="E795" s="148"/>
      <c r="F795" s="157"/>
      <c r="G795" s="167"/>
      <c r="H795" s="167"/>
      <c r="I795" s="167"/>
      <c r="J795" s="167"/>
      <c r="K795" s="167"/>
      <c r="L795" s="167"/>
      <c r="M795" s="167"/>
      <c r="N795" s="167"/>
      <c r="O795" s="167"/>
      <c r="P795" s="173" t="s">
        <v>644</v>
      </c>
      <c r="Q795" s="173" t="s">
        <v>645</v>
      </c>
    </row>
    <row r="796" spans="1:17" s="44" customFormat="1" ht="30" customHeight="1" x14ac:dyDescent="0.35">
      <c r="A796" s="169" t="s">
        <v>647</v>
      </c>
      <c r="B796" s="148"/>
      <c r="C796" s="148"/>
      <c r="D796" s="148"/>
      <c r="E796" s="148"/>
      <c r="F796" s="157"/>
      <c r="G796" s="167"/>
      <c r="H796" s="167"/>
      <c r="I796" s="167"/>
      <c r="J796" s="167"/>
      <c r="K796" s="167"/>
      <c r="L796" s="167"/>
      <c r="M796" s="167"/>
      <c r="N796" s="167"/>
      <c r="O796" s="167"/>
      <c r="P796" s="173" t="s">
        <v>644</v>
      </c>
      <c r="Q796" s="173" t="s">
        <v>645</v>
      </c>
    </row>
    <row r="797" spans="1:17" s="44" customFormat="1" ht="30" customHeight="1" x14ac:dyDescent="0.35">
      <c r="A797" s="169" t="s">
        <v>648</v>
      </c>
      <c r="B797" s="148"/>
      <c r="C797" s="148"/>
      <c r="D797" s="148"/>
      <c r="E797" s="148"/>
      <c r="F797" s="157"/>
      <c r="G797" s="167"/>
      <c r="H797" s="167"/>
      <c r="I797" s="167"/>
      <c r="J797" s="167"/>
      <c r="K797" s="167"/>
      <c r="L797" s="167"/>
      <c r="M797" s="167"/>
      <c r="N797" s="167"/>
      <c r="O797" s="167"/>
      <c r="P797" s="173" t="s">
        <v>644</v>
      </c>
      <c r="Q797" s="173" t="s">
        <v>645</v>
      </c>
    </row>
    <row r="798" spans="1:17" s="44" customFormat="1" ht="30" customHeight="1" x14ac:dyDescent="0.35">
      <c r="A798" s="169" t="s">
        <v>649</v>
      </c>
      <c r="B798" s="148"/>
      <c r="C798" s="148"/>
      <c r="D798" s="148"/>
      <c r="E798" s="148"/>
      <c r="F798" s="157"/>
      <c r="G798" s="167"/>
      <c r="H798" s="167"/>
      <c r="I798" s="167"/>
      <c r="J798" s="167"/>
      <c r="K798" s="167"/>
      <c r="L798" s="167"/>
      <c r="M798" s="167"/>
      <c r="N798" s="167"/>
      <c r="O798" s="167"/>
      <c r="P798" s="173" t="s">
        <v>644</v>
      </c>
      <c r="Q798" s="173" t="s">
        <v>645</v>
      </c>
    </row>
    <row r="799" spans="1:17" s="44" customFormat="1" ht="30" customHeight="1" x14ac:dyDescent="0.35">
      <c r="A799" s="169" t="s">
        <v>650</v>
      </c>
      <c r="B799" s="148"/>
      <c r="C799" s="148"/>
      <c r="D799" s="148"/>
      <c r="E799" s="148"/>
      <c r="F799" s="157"/>
      <c r="G799" s="167"/>
      <c r="H799" s="167"/>
      <c r="I799" s="167"/>
      <c r="J799" s="167"/>
      <c r="K799" s="167"/>
      <c r="L799" s="167"/>
      <c r="M799" s="167"/>
      <c r="N799" s="167"/>
      <c r="O799" s="167"/>
      <c r="P799" s="173" t="s">
        <v>644</v>
      </c>
      <c r="Q799" s="173" t="s">
        <v>645</v>
      </c>
    </row>
    <row r="800" spans="1:17" s="44" customFormat="1" ht="30" customHeight="1" x14ac:dyDescent="0.35">
      <c r="A800" s="169" t="s">
        <v>651</v>
      </c>
      <c r="B800" s="148"/>
      <c r="C800" s="148"/>
      <c r="D800" s="148"/>
      <c r="E800" s="148"/>
      <c r="F800" s="157"/>
      <c r="G800" s="167"/>
      <c r="H800" s="167"/>
      <c r="I800" s="167"/>
      <c r="J800" s="167"/>
      <c r="K800" s="167"/>
      <c r="L800" s="167"/>
      <c r="M800" s="167"/>
      <c r="N800" s="167"/>
      <c r="O800" s="167"/>
      <c r="P800" s="173" t="s">
        <v>644</v>
      </c>
      <c r="Q800" s="173" t="s">
        <v>645</v>
      </c>
    </row>
    <row r="801" spans="1:17" s="44" customFormat="1" ht="30" customHeight="1" x14ac:dyDescent="0.35">
      <c r="A801" s="169" t="s">
        <v>652</v>
      </c>
      <c r="B801" s="148"/>
      <c r="C801" s="148"/>
      <c r="D801" s="148"/>
      <c r="E801" s="148"/>
      <c r="F801" s="157"/>
      <c r="G801" s="167"/>
      <c r="H801" s="167"/>
      <c r="I801" s="167"/>
      <c r="J801" s="167"/>
      <c r="K801" s="167"/>
      <c r="L801" s="167"/>
      <c r="M801" s="167"/>
      <c r="N801" s="167"/>
      <c r="O801" s="167"/>
      <c r="P801" s="173" t="s">
        <v>644</v>
      </c>
      <c r="Q801" s="173" t="s">
        <v>645</v>
      </c>
    </row>
    <row r="802" spans="1:17" s="44" customFormat="1" ht="30" customHeight="1" x14ac:dyDescent="0.35">
      <c r="A802" s="169" t="s">
        <v>653</v>
      </c>
      <c r="B802" s="148"/>
      <c r="C802" s="148"/>
      <c r="D802" s="148"/>
      <c r="E802" s="148"/>
      <c r="F802" s="157"/>
      <c r="G802" s="167"/>
      <c r="H802" s="167"/>
      <c r="I802" s="167"/>
      <c r="J802" s="167"/>
      <c r="K802" s="167"/>
      <c r="L802" s="167"/>
      <c r="M802" s="167"/>
      <c r="N802" s="167"/>
      <c r="O802" s="167"/>
      <c r="P802" s="173" t="s">
        <v>644</v>
      </c>
      <c r="Q802" s="173" t="s">
        <v>645</v>
      </c>
    </row>
    <row r="803" spans="1:17" s="188" customFormat="1" ht="30" customHeight="1" x14ac:dyDescent="0.35">
      <c r="A803" s="193" t="s">
        <v>742</v>
      </c>
      <c r="B803" s="189"/>
      <c r="C803" s="189"/>
      <c r="D803" s="189"/>
      <c r="E803" s="189"/>
      <c r="F803" s="190"/>
      <c r="G803" s="191"/>
      <c r="H803" s="191"/>
      <c r="I803" s="191"/>
      <c r="J803" s="191"/>
      <c r="K803" s="191"/>
      <c r="L803" s="191"/>
      <c r="M803" s="191"/>
      <c r="N803" s="191"/>
      <c r="O803" s="191"/>
      <c r="P803" s="192" t="s">
        <v>644</v>
      </c>
      <c r="Q803" s="192" t="s">
        <v>645</v>
      </c>
    </row>
    <row r="804" spans="1:17" s="188" customFormat="1" ht="30" customHeight="1" x14ac:dyDescent="0.35">
      <c r="A804" s="193" t="s">
        <v>743</v>
      </c>
      <c r="B804" s="189"/>
      <c r="C804" s="189"/>
      <c r="D804" s="189"/>
      <c r="E804" s="189"/>
      <c r="F804" s="190"/>
      <c r="G804" s="191"/>
      <c r="H804" s="191"/>
      <c r="I804" s="191"/>
      <c r="J804" s="191"/>
      <c r="K804" s="191"/>
      <c r="L804" s="191"/>
      <c r="M804" s="191"/>
      <c r="N804" s="191"/>
      <c r="O804" s="191"/>
      <c r="P804" s="192" t="s">
        <v>644</v>
      </c>
      <c r="Q804" s="192" t="s">
        <v>645</v>
      </c>
    </row>
    <row r="805" spans="1:17" s="44" customFormat="1" ht="30" customHeight="1" x14ac:dyDescent="0.35">
      <c r="A805" s="169" t="s">
        <v>654</v>
      </c>
      <c r="B805" s="148"/>
      <c r="C805" s="148"/>
      <c r="D805" s="148"/>
      <c r="E805" s="148"/>
      <c r="F805" s="157"/>
      <c r="G805" s="167"/>
      <c r="H805" s="167"/>
      <c r="I805" s="167"/>
      <c r="J805" s="167"/>
      <c r="K805" s="167"/>
      <c r="L805" s="167"/>
      <c r="M805" s="167"/>
      <c r="N805" s="167"/>
      <c r="O805" s="167"/>
      <c r="P805" s="173" t="s">
        <v>644</v>
      </c>
      <c r="Q805" s="173" t="s">
        <v>645</v>
      </c>
    </row>
    <row r="806" spans="1:17" s="44" customFormat="1" ht="30" customHeight="1" x14ac:dyDescent="0.35">
      <c r="A806" s="169" t="s">
        <v>655</v>
      </c>
      <c r="B806" s="148"/>
      <c r="C806" s="148"/>
      <c r="D806" s="148"/>
      <c r="E806" s="148"/>
      <c r="F806" s="157"/>
      <c r="G806" s="167"/>
      <c r="H806" s="167"/>
      <c r="I806" s="167"/>
      <c r="J806" s="167"/>
      <c r="K806" s="167"/>
      <c r="L806" s="167"/>
      <c r="M806" s="167"/>
      <c r="N806" s="167"/>
      <c r="O806" s="167"/>
      <c r="P806" s="173" t="s">
        <v>644</v>
      </c>
      <c r="Q806" s="173" t="s">
        <v>645</v>
      </c>
    </row>
    <row r="807" spans="1:17" s="44" customFormat="1" ht="30" customHeight="1" x14ac:dyDescent="0.35">
      <c r="A807" s="169" t="s">
        <v>656</v>
      </c>
      <c r="B807" s="148"/>
      <c r="C807" s="148"/>
      <c r="D807" s="148"/>
      <c r="E807" s="148"/>
      <c r="F807" s="157"/>
      <c r="G807" s="167"/>
      <c r="H807" s="167"/>
      <c r="I807" s="167"/>
      <c r="J807" s="167"/>
      <c r="K807" s="167"/>
      <c r="L807" s="167"/>
      <c r="M807" s="167"/>
      <c r="N807" s="167"/>
      <c r="O807" s="167"/>
      <c r="P807" s="173" t="s">
        <v>644</v>
      </c>
      <c r="Q807" s="173" t="s">
        <v>645</v>
      </c>
    </row>
    <row r="808" spans="1:17" s="44" customFormat="1" ht="30" customHeight="1" x14ac:dyDescent="0.35">
      <c r="A808" s="169" t="s">
        <v>657</v>
      </c>
      <c r="B808" s="148"/>
      <c r="C808" s="148"/>
      <c r="D808" s="148"/>
      <c r="E808" s="148"/>
      <c r="F808" s="157"/>
      <c r="G808" s="167"/>
      <c r="H808" s="167"/>
      <c r="I808" s="167"/>
      <c r="J808" s="167"/>
      <c r="K808" s="167"/>
      <c r="L808" s="167"/>
      <c r="M808" s="167"/>
      <c r="N808" s="167"/>
      <c r="O808" s="167"/>
      <c r="P808" s="173" t="s">
        <v>644</v>
      </c>
      <c r="Q808" s="173" t="s">
        <v>645</v>
      </c>
    </row>
    <row r="809" spans="1:17" s="188" customFormat="1" ht="30" customHeight="1" x14ac:dyDescent="0.35">
      <c r="A809" s="193" t="s">
        <v>744</v>
      </c>
      <c r="B809" s="189"/>
      <c r="C809" s="189"/>
      <c r="D809" s="189"/>
      <c r="E809" s="189"/>
      <c r="F809" s="190"/>
      <c r="G809" s="191"/>
      <c r="H809" s="191"/>
      <c r="I809" s="191"/>
      <c r="J809" s="191"/>
      <c r="K809" s="191"/>
      <c r="L809" s="191"/>
      <c r="M809" s="191"/>
      <c r="N809" s="191"/>
      <c r="O809" s="191"/>
      <c r="P809" s="192" t="s">
        <v>644</v>
      </c>
      <c r="Q809" s="192" t="s">
        <v>645</v>
      </c>
    </row>
    <row r="810" spans="1:17" s="188" customFormat="1" ht="30" customHeight="1" x14ac:dyDescent="0.35">
      <c r="A810" s="193" t="s">
        <v>745</v>
      </c>
      <c r="B810" s="189"/>
      <c r="C810" s="189"/>
      <c r="D810" s="189"/>
      <c r="E810" s="189"/>
      <c r="F810" s="190"/>
      <c r="G810" s="191"/>
      <c r="H810" s="191"/>
      <c r="I810" s="191"/>
      <c r="J810" s="191"/>
      <c r="K810" s="191"/>
      <c r="L810" s="191"/>
      <c r="M810" s="191"/>
      <c r="N810" s="191"/>
      <c r="O810" s="191"/>
      <c r="P810" s="192" t="s">
        <v>644</v>
      </c>
      <c r="Q810" s="192" t="s">
        <v>645</v>
      </c>
    </row>
    <row r="811" spans="1:17" s="44" customFormat="1" ht="30" customHeight="1" x14ac:dyDescent="0.35">
      <c r="A811" s="169" t="s">
        <v>658</v>
      </c>
      <c r="B811" s="148"/>
      <c r="C811" s="148"/>
      <c r="D811" s="148"/>
      <c r="E811" s="148"/>
      <c r="F811" s="157"/>
      <c r="G811" s="167"/>
      <c r="H811" s="167"/>
      <c r="I811" s="167"/>
      <c r="J811" s="167"/>
      <c r="K811" s="167"/>
      <c r="L811" s="167"/>
      <c r="M811" s="167"/>
      <c r="N811" s="167"/>
      <c r="O811" s="167"/>
      <c r="P811" s="173" t="s">
        <v>644</v>
      </c>
      <c r="Q811" s="173" t="s">
        <v>645</v>
      </c>
    </row>
    <row r="812" spans="1:17" s="44" customFormat="1" ht="30" customHeight="1" x14ac:dyDescent="0.35">
      <c r="A812" s="169" t="s">
        <v>659</v>
      </c>
      <c r="B812" s="148"/>
      <c r="C812" s="148"/>
      <c r="D812" s="148"/>
      <c r="E812" s="148"/>
      <c r="F812" s="157"/>
      <c r="G812" s="167"/>
      <c r="H812" s="167"/>
      <c r="I812" s="167"/>
      <c r="J812" s="167"/>
      <c r="K812" s="167"/>
      <c r="L812" s="167"/>
      <c r="M812" s="167"/>
      <c r="N812" s="167"/>
      <c r="O812" s="167"/>
      <c r="P812" s="173" t="s">
        <v>644</v>
      </c>
      <c r="Q812" s="173" t="s">
        <v>645</v>
      </c>
    </row>
    <row r="813" spans="1:17" s="44" customFormat="1" ht="30" customHeight="1" x14ac:dyDescent="0.35">
      <c r="A813" s="169" t="s">
        <v>660</v>
      </c>
      <c r="B813" s="148"/>
      <c r="C813" s="148"/>
      <c r="D813" s="148"/>
      <c r="E813" s="148"/>
      <c r="F813" s="157"/>
      <c r="G813" s="167"/>
      <c r="H813" s="167"/>
      <c r="I813" s="167"/>
      <c r="J813" s="167"/>
      <c r="K813" s="167"/>
      <c r="L813" s="167"/>
      <c r="M813" s="167"/>
      <c r="N813" s="167"/>
      <c r="O813" s="167"/>
      <c r="P813" s="173" t="s">
        <v>661</v>
      </c>
      <c r="Q813" s="173" t="s">
        <v>645</v>
      </c>
    </row>
    <row r="814" spans="1:17" s="44" customFormat="1" ht="30" customHeight="1" x14ac:dyDescent="0.35">
      <c r="A814" s="169" t="s">
        <v>662</v>
      </c>
      <c r="B814" s="148"/>
      <c r="C814" s="148"/>
      <c r="D814" s="148"/>
      <c r="E814" s="148"/>
      <c r="F814" s="157"/>
      <c r="G814" s="167"/>
      <c r="H814" s="167"/>
      <c r="I814" s="167"/>
      <c r="J814" s="167"/>
      <c r="K814" s="167"/>
      <c r="L814" s="167"/>
      <c r="M814" s="167"/>
      <c r="N814" s="167"/>
      <c r="O814" s="167"/>
      <c r="P814" s="173" t="s">
        <v>661</v>
      </c>
      <c r="Q814" s="173" t="s">
        <v>645</v>
      </c>
    </row>
    <row r="815" spans="1:17" s="44" customFormat="1" ht="30" customHeight="1" x14ac:dyDescent="0.35">
      <c r="A815" s="169" t="s">
        <v>663</v>
      </c>
      <c r="B815" s="148"/>
      <c r="C815" s="148"/>
      <c r="D815" s="148"/>
      <c r="E815" s="148"/>
      <c r="F815" s="157"/>
      <c r="G815" s="167"/>
      <c r="H815" s="167"/>
      <c r="I815" s="167"/>
      <c r="J815" s="167"/>
      <c r="K815" s="167"/>
      <c r="L815" s="167"/>
      <c r="M815" s="167"/>
      <c r="N815" s="167"/>
      <c r="O815" s="167"/>
      <c r="P815" s="173" t="s">
        <v>661</v>
      </c>
      <c r="Q815" s="173" t="s">
        <v>645</v>
      </c>
    </row>
    <row r="816" spans="1:17" s="44" customFormat="1" ht="30" customHeight="1" x14ac:dyDescent="0.35">
      <c r="A816" s="169" t="s">
        <v>664</v>
      </c>
      <c r="B816" s="148"/>
      <c r="C816" s="148"/>
      <c r="D816" s="148"/>
      <c r="E816" s="148"/>
      <c r="F816" s="157"/>
      <c r="G816" s="167"/>
      <c r="H816" s="167"/>
      <c r="I816" s="167"/>
      <c r="J816" s="167"/>
      <c r="K816" s="167"/>
      <c r="L816" s="167"/>
      <c r="M816" s="167"/>
      <c r="N816" s="167"/>
      <c r="O816" s="167"/>
      <c r="P816" s="173" t="s">
        <v>661</v>
      </c>
      <c r="Q816" s="173" t="s">
        <v>645</v>
      </c>
    </row>
    <row r="817" spans="1:17" s="44" customFormat="1" ht="30" customHeight="1" x14ac:dyDescent="0.35">
      <c r="A817" s="213" t="s">
        <v>665</v>
      </c>
      <c r="B817" s="213"/>
      <c r="C817" s="213"/>
      <c r="D817" s="213"/>
      <c r="E817" s="213"/>
      <c r="F817" s="213"/>
      <c r="G817" s="213"/>
      <c r="H817" s="213"/>
      <c r="I817" s="213"/>
      <c r="J817" s="213"/>
      <c r="K817" s="213"/>
      <c r="L817" s="213"/>
      <c r="M817" s="213"/>
      <c r="N817" s="213"/>
      <c r="O817" s="213"/>
      <c r="P817" s="194" t="s">
        <v>666</v>
      </c>
      <c r="Q817" s="194" t="s">
        <v>666</v>
      </c>
    </row>
    <row r="818" spans="1:17" s="44" customFormat="1" ht="30" customHeight="1" x14ac:dyDescent="0.35">
      <c r="A818" s="213" t="s">
        <v>667</v>
      </c>
      <c r="B818" s="213"/>
      <c r="C818" s="213"/>
      <c r="D818" s="213"/>
      <c r="E818" s="213"/>
      <c r="F818" s="213"/>
      <c r="G818" s="213"/>
      <c r="H818" s="213"/>
      <c r="I818" s="213"/>
      <c r="J818" s="213"/>
      <c r="K818" s="213"/>
      <c r="L818" s="213"/>
      <c r="M818" s="213"/>
      <c r="N818" s="213"/>
      <c r="O818" s="213"/>
      <c r="P818" s="194" t="s">
        <v>666</v>
      </c>
      <c r="Q818" s="194" t="s">
        <v>666</v>
      </c>
    </row>
    <row r="819" spans="1:17" s="44" customFormat="1" ht="30" customHeight="1" x14ac:dyDescent="0.35">
      <c r="A819" s="171"/>
      <c r="B819" s="169" t="s">
        <v>668</v>
      </c>
      <c r="C819" s="148"/>
      <c r="D819" s="148"/>
      <c r="E819" s="148"/>
      <c r="F819" s="157"/>
      <c r="G819" s="167"/>
      <c r="H819" s="167"/>
      <c r="I819" s="167"/>
      <c r="J819" s="167"/>
      <c r="K819" s="167"/>
      <c r="L819" s="167"/>
      <c r="M819" s="167"/>
      <c r="N819" s="167"/>
      <c r="O819" s="167"/>
      <c r="P819" s="194" t="s">
        <v>666</v>
      </c>
      <c r="Q819" s="194" t="s">
        <v>666</v>
      </c>
    </row>
    <row r="820" spans="1:17" s="44" customFormat="1" ht="30" customHeight="1" x14ac:dyDescent="0.35">
      <c r="A820" s="172"/>
      <c r="B820" s="169" t="s">
        <v>669</v>
      </c>
      <c r="C820" s="148"/>
      <c r="D820" s="148"/>
      <c r="E820" s="148"/>
      <c r="F820" s="157"/>
      <c r="G820" s="167"/>
      <c r="H820" s="167"/>
      <c r="I820" s="167"/>
      <c r="J820" s="167"/>
      <c r="K820" s="167"/>
      <c r="L820" s="167"/>
      <c r="M820" s="167"/>
      <c r="N820" s="167"/>
      <c r="O820" s="167"/>
      <c r="P820" s="194" t="s">
        <v>666</v>
      </c>
      <c r="Q820" s="194" t="s">
        <v>666</v>
      </c>
    </row>
    <row r="821" spans="1:17" s="44" customFormat="1" ht="30" customHeight="1" x14ac:dyDescent="0.35">
      <c r="A821" s="195"/>
      <c r="B821" s="169" t="s">
        <v>670</v>
      </c>
      <c r="C821" s="128"/>
      <c r="D821" s="128"/>
      <c r="E821" s="128"/>
      <c r="F821" s="175"/>
      <c r="G821" s="132"/>
      <c r="H821" s="132"/>
      <c r="I821" s="132"/>
      <c r="J821" s="132"/>
      <c r="K821" s="132"/>
      <c r="L821" s="132"/>
      <c r="M821" s="132"/>
      <c r="N821" s="132"/>
      <c r="O821" s="132"/>
      <c r="P821" s="194" t="s">
        <v>666</v>
      </c>
      <c r="Q821" s="194" t="s">
        <v>666</v>
      </c>
    </row>
    <row r="822" spans="1:17" s="44" customFormat="1" ht="30" customHeight="1" x14ac:dyDescent="0.35">
      <c r="A822" s="213" t="s">
        <v>671</v>
      </c>
      <c r="B822" s="213"/>
      <c r="C822" s="213"/>
      <c r="D822" s="213"/>
      <c r="E822" s="213"/>
      <c r="F822" s="213"/>
      <c r="G822" s="213"/>
      <c r="H822" s="213"/>
      <c r="I822" s="213"/>
      <c r="J822" s="213"/>
      <c r="K822" s="213"/>
      <c r="L822" s="213"/>
      <c r="M822" s="213"/>
      <c r="N822" s="213"/>
      <c r="O822" s="213"/>
      <c r="P822" s="173" t="s">
        <v>672</v>
      </c>
      <c r="Q822" s="173" t="s">
        <v>645</v>
      </c>
    </row>
    <row r="823" spans="1:17" s="44" customFormat="1" ht="30" customHeight="1" x14ac:dyDescent="0.35">
      <c r="A823" s="143" t="s">
        <v>748</v>
      </c>
      <c r="B823" s="144"/>
      <c r="C823" s="144"/>
      <c r="D823" s="144"/>
      <c r="E823" s="144"/>
      <c r="F823" s="145"/>
      <c r="G823" s="143"/>
      <c r="H823" s="143"/>
      <c r="I823" s="143"/>
      <c r="J823" s="143"/>
      <c r="K823" s="143"/>
      <c r="L823" s="143"/>
      <c r="M823" s="143"/>
      <c r="N823" s="143"/>
      <c r="O823" s="143"/>
      <c r="P823" s="174" t="s">
        <v>641</v>
      </c>
      <c r="Q823" s="174" t="s">
        <v>642</v>
      </c>
    </row>
    <row r="824" spans="1:17" s="44" customFormat="1" ht="30" customHeight="1" x14ac:dyDescent="0.35">
      <c r="A824" s="169" t="s">
        <v>673</v>
      </c>
      <c r="B824" s="148"/>
      <c r="C824" s="148"/>
      <c r="D824" s="148"/>
      <c r="E824" s="148"/>
      <c r="F824" s="175"/>
      <c r="G824" s="167"/>
      <c r="H824" s="167"/>
      <c r="I824" s="167"/>
      <c r="J824" s="167"/>
      <c r="K824" s="167"/>
      <c r="L824" s="167"/>
      <c r="M824" s="167"/>
      <c r="N824" s="167"/>
      <c r="O824" s="167"/>
      <c r="P824" s="173" t="s">
        <v>674</v>
      </c>
      <c r="Q824" s="173" t="s">
        <v>675</v>
      </c>
    </row>
    <row r="825" spans="1:17" s="44" customFormat="1" ht="30" customHeight="1" x14ac:dyDescent="0.35">
      <c r="A825" s="169" t="s">
        <v>676</v>
      </c>
      <c r="B825" s="148"/>
      <c r="C825" s="148"/>
      <c r="D825" s="148"/>
      <c r="E825" s="148"/>
      <c r="F825" s="175"/>
      <c r="G825" s="167"/>
      <c r="H825" s="167"/>
      <c r="I825" s="167"/>
      <c r="J825" s="167"/>
      <c r="K825" s="167"/>
      <c r="L825" s="167"/>
      <c r="M825" s="167"/>
      <c r="N825" s="167"/>
      <c r="O825" s="167"/>
      <c r="P825" s="173" t="s">
        <v>674</v>
      </c>
      <c r="Q825" s="173" t="s">
        <v>675</v>
      </c>
    </row>
    <row r="826" spans="1:17" s="44" customFormat="1" ht="30" customHeight="1" x14ac:dyDescent="0.35">
      <c r="A826" s="169" t="s">
        <v>677</v>
      </c>
      <c r="B826" s="148"/>
      <c r="C826" s="148"/>
      <c r="D826" s="148"/>
      <c r="E826" s="148"/>
      <c r="F826" s="175"/>
      <c r="G826" s="167"/>
      <c r="H826" s="167"/>
      <c r="I826" s="167"/>
      <c r="J826" s="167"/>
      <c r="K826" s="167"/>
      <c r="L826" s="167"/>
      <c r="M826" s="167"/>
      <c r="N826" s="167"/>
      <c r="O826" s="167"/>
      <c r="P826" s="173" t="s">
        <v>674</v>
      </c>
      <c r="Q826" s="173" t="s">
        <v>675</v>
      </c>
    </row>
    <row r="827" spans="1:17" s="44" customFormat="1" ht="30" customHeight="1" x14ac:dyDescent="0.35">
      <c r="A827" s="169" t="s">
        <v>678</v>
      </c>
      <c r="B827" s="148"/>
      <c r="C827" s="148"/>
      <c r="D827" s="148"/>
      <c r="E827" s="148"/>
      <c r="F827" s="175"/>
      <c r="G827" s="167"/>
      <c r="H827" s="167"/>
      <c r="I827" s="167"/>
      <c r="J827" s="167"/>
      <c r="K827" s="167"/>
      <c r="L827" s="167"/>
      <c r="M827" s="167"/>
      <c r="N827" s="167"/>
      <c r="O827" s="167"/>
      <c r="P827" s="173" t="s">
        <v>674</v>
      </c>
      <c r="Q827" s="173" t="s">
        <v>675</v>
      </c>
    </row>
    <row r="828" spans="1:17" s="44" customFormat="1" ht="30" customHeight="1" x14ac:dyDescent="0.35">
      <c r="A828" s="169" t="s">
        <v>679</v>
      </c>
      <c r="B828" s="148"/>
      <c r="C828" s="148"/>
      <c r="D828" s="148"/>
      <c r="E828" s="148"/>
      <c r="F828" s="175"/>
      <c r="G828" s="167"/>
      <c r="H828" s="167"/>
      <c r="I828" s="167"/>
      <c r="J828" s="167"/>
      <c r="K828" s="167"/>
      <c r="L828" s="167"/>
      <c r="M828" s="167"/>
      <c r="N828" s="167"/>
      <c r="O828" s="167"/>
      <c r="P828" s="173" t="s">
        <v>674</v>
      </c>
      <c r="Q828" s="173" t="s">
        <v>675</v>
      </c>
    </row>
    <row r="829" spans="1:17" s="44" customFormat="1" ht="30" customHeight="1" x14ac:dyDescent="0.35">
      <c r="A829" s="169" t="s">
        <v>680</v>
      </c>
      <c r="B829" s="148"/>
      <c r="C829" s="148"/>
      <c r="D829" s="148"/>
      <c r="E829" s="148"/>
      <c r="F829" s="175"/>
      <c r="G829" s="167"/>
      <c r="H829" s="167"/>
      <c r="I829" s="167"/>
      <c r="J829" s="167"/>
      <c r="K829" s="167"/>
      <c r="L829" s="167"/>
      <c r="M829" s="167"/>
      <c r="N829" s="167"/>
      <c r="O829" s="167"/>
      <c r="P829" s="173" t="s">
        <v>674</v>
      </c>
      <c r="Q829" s="173" t="s">
        <v>675</v>
      </c>
    </row>
    <row r="830" spans="1:17" s="44" customFormat="1" ht="30" customHeight="1" x14ac:dyDescent="0.35">
      <c r="A830" s="169" t="s">
        <v>681</v>
      </c>
      <c r="B830" s="148"/>
      <c r="C830" s="148"/>
      <c r="D830" s="148"/>
      <c r="E830" s="148"/>
      <c r="F830" s="175"/>
      <c r="G830" s="167"/>
      <c r="H830" s="167"/>
      <c r="I830" s="167"/>
      <c r="J830" s="167"/>
      <c r="K830" s="167"/>
      <c r="L830" s="167"/>
      <c r="M830" s="167"/>
      <c r="N830" s="167"/>
      <c r="O830" s="167"/>
      <c r="P830" s="173" t="s">
        <v>674</v>
      </c>
      <c r="Q830" s="173" t="s">
        <v>675</v>
      </c>
    </row>
    <row r="831" spans="1:17" s="44" customFormat="1" ht="30" customHeight="1" x14ac:dyDescent="0.35">
      <c r="A831" s="169" t="s">
        <v>682</v>
      </c>
      <c r="B831" s="148"/>
      <c r="C831" s="148"/>
      <c r="D831" s="148"/>
      <c r="E831" s="148"/>
      <c r="F831" s="175"/>
      <c r="G831" s="167"/>
      <c r="H831" s="167"/>
      <c r="I831" s="167"/>
      <c r="J831" s="167"/>
      <c r="K831" s="167"/>
      <c r="L831" s="167"/>
      <c r="M831" s="167"/>
      <c r="N831" s="167"/>
      <c r="O831" s="167"/>
      <c r="P831" s="173" t="s">
        <v>674</v>
      </c>
      <c r="Q831" s="173" t="s">
        <v>675</v>
      </c>
    </row>
    <row r="832" spans="1:17" s="44" customFormat="1" ht="30" customHeight="1" x14ac:dyDescent="0.35">
      <c r="A832" s="169" t="s">
        <v>683</v>
      </c>
      <c r="B832" s="148"/>
      <c r="C832" s="148"/>
      <c r="D832" s="148"/>
      <c r="E832" s="148"/>
      <c r="F832" s="175"/>
      <c r="G832" s="167"/>
      <c r="H832" s="167"/>
      <c r="I832" s="167"/>
      <c r="J832" s="167"/>
      <c r="K832" s="167"/>
      <c r="L832" s="167"/>
      <c r="M832" s="167"/>
      <c r="N832" s="167"/>
      <c r="O832" s="167"/>
      <c r="P832" s="173" t="s">
        <v>674</v>
      </c>
      <c r="Q832" s="173" t="s">
        <v>675</v>
      </c>
    </row>
    <row r="833" spans="1:17" s="44" customFormat="1" ht="30" customHeight="1" x14ac:dyDescent="0.35">
      <c r="A833" s="169" t="s">
        <v>684</v>
      </c>
      <c r="B833" s="148"/>
      <c r="C833" s="148"/>
      <c r="D833" s="148"/>
      <c r="E833" s="148"/>
      <c r="F833" s="175"/>
      <c r="G833" s="167"/>
      <c r="H833" s="167"/>
      <c r="I833" s="167"/>
      <c r="J833" s="167"/>
      <c r="K833" s="167"/>
      <c r="L833" s="167"/>
      <c r="M833" s="167"/>
      <c r="N833" s="167"/>
      <c r="O833" s="167"/>
      <c r="P833" s="173" t="s">
        <v>674</v>
      </c>
      <c r="Q833" s="173" t="s">
        <v>675</v>
      </c>
    </row>
    <row r="834" spans="1:17" s="44" customFormat="1" ht="30" customHeight="1" x14ac:dyDescent="0.35">
      <c r="A834" s="169" t="s">
        <v>685</v>
      </c>
      <c r="B834" s="148"/>
      <c r="C834" s="148"/>
      <c r="D834" s="148"/>
      <c r="E834" s="148"/>
      <c r="F834" s="175"/>
      <c r="G834" s="167"/>
      <c r="H834" s="167"/>
      <c r="I834" s="167"/>
      <c r="J834" s="167"/>
      <c r="K834" s="167"/>
      <c r="L834" s="167"/>
      <c r="M834" s="167"/>
      <c r="N834" s="167"/>
      <c r="O834" s="167"/>
      <c r="P834" s="173" t="s">
        <v>674</v>
      </c>
      <c r="Q834" s="173" t="s">
        <v>675</v>
      </c>
    </row>
    <row r="835" spans="1:17" s="44" customFormat="1" ht="30" customHeight="1" x14ac:dyDescent="0.35">
      <c r="A835" s="169" t="s">
        <v>686</v>
      </c>
      <c r="B835" s="148"/>
      <c r="C835" s="148"/>
      <c r="D835" s="148"/>
      <c r="E835" s="148"/>
      <c r="F835" s="175"/>
      <c r="G835" s="167"/>
      <c r="H835" s="167"/>
      <c r="I835" s="167"/>
      <c r="J835" s="167"/>
      <c r="K835" s="167"/>
      <c r="L835" s="167"/>
      <c r="M835" s="167"/>
      <c r="N835" s="167"/>
      <c r="O835" s="167"/>
      <c r="P835" s="173" t="s">
        <v>674</v>
      </c>
      <c r="Q835" s="173" t="s">
        <v>675</v>
      </c>
    </row>
    <row r="836" spans="1:17" s="44" customFormat="1" ht="30" customHeight="1" x14ac:dyDescent="0.35">
      <c r="A836" s="169" t="s">
        <v>687</v>
      </c>
      <c r="B836" s="148"/>
      <c r="C836" s="148"/>
      <c r="D836" s="148"/>
      <c r="E836" s="148"/>
      <c r="F836" s="175"/>
      <c r="G836" s="167"/>
      <c r="H836" s="167"/>
      <c r="I836" s="167"/>
      <c r="J836" s="167"/>
      <c r="K836" s="167"/>
      <c r="L836" s="167"/>
      <c r="M836" s="167"/>
      <c r="N836" s="167"/>
      <c r="O836" s="167"/>
      <c r="P836" s="173" t="s">
        <v>674</v>
      </c>
      <c r="Q836" s="173" t="s">
        <v>675</v>
      </c>
    </row>
    <row r="837" spans="1:17" s="44" customFormat="1" ht="30" customHeight="1" x14ac:dyDescent="0.35">
      <c r="A837" s="169" t="s">
        <v>688</v>
      </c>
      <c r="B837" s="148"/>
      <c r="C837" s="148"/>
      <c r="D837" s="148"/>
      <c r="E837" s="148"/>
      <c r="F837" s="175"/>
      <c r="G837" s="167"/>
      <c r="H837" s="167"/>
      <c r="I837" s="167"/>
      <c r="J837" s="167"/>
      <c r="K837" s="167"/>
      <c r="L837" s="167"/>
      <c r="M837" s="167"/>
      <c r="N837" s="167"/>
      <c r="O837" s="167"/>
      <c r="P837" s="173" t="s">
        <v>674</v>
      </c>
      <c r="Q837" s="173" t="s">
        <v>675</v>
      </c>
    </row>
    <row r="838" spans="1:17" s="44" customFormat="1" ht="30" customHeight="1" x14ac:dyDescent="0.35">
      <c r="A838" s="169" t="s">
        <v>689</v>
      </c>
      <c r="B838" s="148"/>
      <c r="C838" s="148"/>
      <c r="D838" s="148"/>
      <c r="E838" s="148"/>
      <c r="F838" s="175"/>
      <c r="G838" s="167"/>
      <c r="H838" s="167"/>
      <c r="I838" s="167"/>
      <c r="J838" s="167"/>
      <c r="K838" s="167"/>
      <c r="L838" s="167"/>
      <c r="M838" s="167"/>
      <c r="N838" s="167"/>
      <c r="O838" s="167"/>
      <c r="P838" s="173" t="s">
        <v>674</v>
      </c>
      <c r="Q838" s="173" t="s">
        <v>675</v>
      </c>
    </row>
    <row r="839" spans="1:17" s="44" customFormat="1" ht="30" customHeight="1" x14ac:dyDescent="0.35">
      <c r="A839" s="169" t="s">
        <v>690</v>
      </c>
      <c r="B839" s="148"/>
      <c r="C839" s="148"/>
      <c r="D839" s="148"/>
      <c r="E839" s="148"/>
      <c r="F839" s="175"/>
      <c r="G839" s="167"/>
      <c r="H839" s="167"/>
      <c r="I839" s="167"/>
      <c r="J839" s="167"/>
      <c r="K839" s="167"/>
      <c r="L839" s="167"/>
      <c r="M839" s="167"/>
      <c r="N839" s="167"/>
      <c r="O839" s="167"/>
      <c r="P839" s="173" t="s">
        <v>674</v>
      </c>
      <c r="Q839" s="173" t="s">
        <v>675</v>
      </c>
    </row>
    <row r="840" spans="1:17" s="44" customFormat="1" ht="30" customHeight="1" x14ac:dyDescent="0.35">
      <c r="A840" s="169" t="s">
        <v>691</v>
      </c>
      <c r="B840" s="148"/>
      <c r="C840" s="148"/>
      <c r="D840" s="148"/>
      <c r="E840" s="148"/>
      <c r="F840" s="175"/>
      <c r="G840" s="167"/>
      <c r="H840" s="167"/>
      <c r="I840" s="167"/>
      <c r="J840" s="167"/>
      <c r="K840" s="167"/>
      <c r="L840" s="167"/>
      <c r="M840" s="167"/>
      <c r="N840" s="167"/>
      <c r="O840" s="167"/>
      <c r="P840" s="173" t="s">
        <v>674</v>
      </c>
      <c r="Q840" s="173" t="s">
        <v>675</v>
      </c>
    </row>
    <row r="841" spans="1:17" s="44" customFormat="1" ht="30" customHeight="1" x14ac:dyDescent="0.35">
      <c r="A841" s="169" t="s">
        <v>692</v>
      </c>
      <c r="B841" s="148"/>
      <c r="C841" s="148"/>
      <c r="D841" s="148"/>
      <c r="E841" s="148"/>
      <c r="F841" s="175"/>
      <c r="G841" s="167"/>
      <c r="H841" s="167"/>
      <c r="I841" s="167"/>
      <c r="J841" s="167"/>
      <c r="K841" s="167"/>
      <c r="L841" s="167"/>
      <c r="M841" s="167"/>
      <c r="N841" s="167"/>
      <c r="O841" s="167"/>
      <c r="P841" s="173" t="s">
        <v>674</v>
      </c>
      <c r="Q841" s="173" t="s">
        <v>675</v>
      </c>
    </row>
    <row r="842" spans="1:17" s="44" customFormat="1" ht="30" customHeight="1" x14ac:dyDescent="0.35">
      <c r="A842" s="169" t="s">
        <v>693</v>
      </c>
      <c r="B842" s="148"/>
      <c r="C842" s="148"/>
      <c r="D842" s="148"/>
      <c r="E842" s="148"/>
      <c r="F842" s="175"/>
      <c r="G842" s="167"/>
      <c r="H842" s="167"/>
      <c r="I842" s="167"/>
      <c r="J842" s="167"/>
      <c r="K842" s="167"/>
      <c r="L842" s="167"/>
      <c r="M842" s="167"/>
      <c r="N842" s="167"/>
      <c r="O842" s="167"/>
      <c r="P842" s="173" t="s">
        <v>674</v>
      </c>
      <c r="Q842" s="173" t="s">
        <v>675</v>
      </c>
    </row>
    <row r="843" spans="1:17" s="44" customFormat="1" ht="30" customHeight="1" x14ac:dyDescent="0.35">
      <c r="A843" s="169" t="s">
        <v>694</v>
      </c>
      <c r="B843" s="148"/>
      <c r="C843" s="148"/>
      <c r="D843" s="148"/>
      <c r="E843" s="148"/>
      <c r="F843" s="175"/>
      <c r="G843" s="167"/>
      <c r="H843" s="167"/>
      <c r="I843" s="167"/>
      <c r="J843" s="167"/>
      <c r="K843" s="167"/>
      <c r="L843" s="167"/>
      <c r="M843" s="167"/>
      <c r="N843" s="167"/>
      <c r="O843" s="167"/>
      <c r="P843" s="173" t="s">
        <v>674</v>
      </c>
      <c r="Q843" s="173" t="s">
        <v>675</v>
      </c>
    </row>
    <row r="844" spans="1:17" s="44" customFormat="1" ht="30" customHeight="1" x14ac:dyDescent="0.35">
      <c r="A844" s="169" t="s">
        <v>695</v>
      </c>
      <c r="B844" s="148"/>
      <c r="C844" s="148"/>
      <c r="D844" s="148"/>
      <c r="E844" s="148"/>
      <c r="F844" s="175"/>
      <c r="G844" s="167"/>
      <c r="H844" s="167"/>
      <c r="I844" s="167"/>
      <c r="J844" s="167"/>
      <c r="K844" s="167"/>
      <c r="L844" s="167"/>
      <c r="M844" s="167"/>
      <c r="N844" s="167"/>
      <c r="O844" s="167"/>
      <c r="P844" s="173" t="s">
        <v>674</v>
      </c>
      <c r="Q844" s="173" t="s">
        <v>675</v>
      </c>
    </row>
    <row r="845" spans="1:17" s="44" customFormat="1" ht="30" customHeight="1" x14ac:dyDescent="0.35">
      <c r="A845" s="169" t="s">
        <v>696</v>
      </c>
      <c r="B845" s="148"/>
      <c r="C845" s="148"/>
      <c r="D845" s="148"/>
      <c r="E845" s="148"/>
      <c r="F845" s="175"/>
      <c r="G845" s="167"/>
      <c r="H845" s="167"/>
      <c r="I845" s="167"/>
      <c r="J845" s="167"/>
      <c r="K845" s="167"/>
      <c r="L845" s="167"/>
      <c r="M845" s="167"/>
      <c r="N845" s="167"/>
      <c r="O845" s="167"/>
      <c r="P845" s="173" t="s">
        <v>674</v>
      </c>
      <c r="Q845" s="173" t="s">
        <v>675</v>
      </c>
    </row>
    <row r="846" spans="1:17" s="44" customFormat="1" ht="30" customHeight="1" x14ac:dyDescent="0.35">
      <c r="A846" s="169" t="s">
        <v>697</v>
      </c>
      <c r="B846" s="148"/>
      <c r="C846" s="148"/>
      <c r="D846" s="148"/>
      <c r="E846" s="148"/>
      <c r="F846" s="175"/>
      <c r="G846" s="167"/>
      <c r="H846" s="167"/>
      <c r="I846" s="167"/>
      <c r="J846" s="167"/>
      <c r="K846" s="167"/>
      <c r="L846" s="167"/>
      <c r="M846" s="167"/>
      <c r="N846" s="167"/>
      <c r="O846" s="167"/>
      <c r="P846" s="173" t="s">
        <v>674</v>
      </c>
      <c r="Q846" s="173" t="s">
        <v>675</v>
      </c>
    </row>
    <row r="847" spans="1:17" s="44" customFormat="1" ht="30" customHeight="1" x14ac:dyDescent="0.35">
      <c r="A847" s="169" t="s">
        <v>698</v>
      </c>
      <c r="B847" s="148"/>
      <c r="C847" s="148"/>
      <c r="D847" s="148"/>
      <c r="E847" s="148"/>
      <c r="F847" s="175"/>
      <c r="G847" s="167"/>
      <c r="H847" s="167"/>
      <c r="I847" s="167"/>
      <c r="J847" s="167"/>
      <c r="K847" s="167"/>
      <c r="L847" s="167"/>
      <c r="M847" s="167"/>
      <c r="N847" s="167"/>
      <c r="O847" s="167"/>
      <c r="P847" s="173" t="s">
        <v>674</v>
      </c>
      <c r="Q847" s="173" t="s">
        <v>675</v>
      </c>
    </row>
    <row r="848" spans="1:17" s="44" customFormat="1" ht="30" customHeight="1" x14ac:dyDescent="0.35">
      <c r="A848" s="169" t="s">
        <v>699</v>
      </c>
      <c r="B848" s="148"/>
      <c r="C848" s="148"/>
      <c r="D848" s="148"/>
      <c r="E848" s="148"/>
      <c r="F848" s="175"/>
      <c r="G848" s="167"/>
      <c r="H848" s="167"/>
      <c r="I848" s="167"/>
      <c r="J848" s="167"/>
      <c r="K848" s="167"/>
      <c r="L848" s="167"/>
      <c r="M848" s="167"/>
      <c r="N848" s="167"/>
      <c r="O848" s="167"/>
      <c r="P848" s="173" t="s">
        <v>674</v>
      </c>
      <c r="Q848" s="173" t="s">
        <v>675</v>
      </c>
    </row>
    <row r="849" spans="1:17" s="44" customFormat="1" ht="30" customHeight="1" x14ac:dyDescent="0.35">
      <c r="A849" s="169" t="s">
        <v>700</v>
      </c>
      <c r="B849" s="148"/>
      <c r="C849" s="148"/>
      <c r="D849" s="148"/>
      <c r="E849" s="148"/>
      <c r="F849" s="175"/>
      <c r="G849" s="167"/>
      <c r="H849" s="167"/>
      <c r="I849" s="167"/>
      <c r="J849" s="167"/>
      <c r="K849" s="167"/>
      <c r="L849" s="167"/>
      <c r="M849" s="167"/>
      <c r="N849" s="167"/>
      <c r="O849" s="167"/>
      <c r="P849" s="173" t="s">
        <v>674</v>
      </c>
      <c r="Q849" s="173" t="s">
        <v>675</v>
      </c>
    </row>
    <row r="850" spans="1:17" s="44" customFormat="1" ht="30" customHeight="1" x14ac:dyDescent="0.35">
      <c r="A850" s="169" t="s">
        <v>701</v>
      </c>
      <c r="B850" s="148"/>
      <c r="C850" s="148"/>
      <c r="D850" s="148"/>
      <c r="E850" s="148"/>
      <c r="F850" s="175"/>
      <c r="G850" s="167"/>
      <c r="H850" s="167"/>
      <c r="I850" s="167"/>
      <c r="J850" s="167"/>
      <c r="K850" s="167"/>
      <c r="L850" s="167"/>
      <c r="M850" s="167"/>
      <c r="N850" s="167"/>
      <c r="O850" s="167"/>
      <c r="P850" s="173" t="s">
        <v>674</v>
      </c>
      <c r="Q850" s="173" t="s">
        <v>675</v>
      </c>
    </row>
    <row r="851" spans="1:17" s="44" customFormat="1" ht="30" customHeight="1" x14ac:dyDescent="0.35">
      <c r="A851" s="169" t="s">
        <v>702</v>
      </c>
      <c r="B851" s="148"/>
      <c r="C851" s="148"/>
      <c r="D851" s="148"/>
      <c r="E851" s="148"/>
      <c r="F851" s="175"/>
      <c r="G851" s="167"/>
      <c r="H851" s="167"/>
      <c r="I851" s="167"/>
      <c r="J851" s="167"/>
      <c r="K851" s="167"/>
      <c r="L851" s="167"/>
      <c r="M851" s="167"/>
      <c r="N851" s="167"/>
      <c r="O851" s="167"/>
      <c r="P851" s="173" t="s">
        <v>674</v>
      </c>
      <c r="Q851" s="173" t="s">
        <v>675</v>
      </c>
    </row>
    <row r="852" spans="1:17" s="44" customFormat="1" ht="30" customHeight="1" x14ac:dyDescent="0.35">
      <c r="A852" s="169" t="s">
        <v>703</v>
      </c>
      <c r="B852" s="148"/>
      <c r="C852" s="148"/>
      <c r="D852" s="148"/>
      <c r="E852" s="148"/>
      <c r="F852" s="175"/>
      <c r="G852" s="167"/>
      <c r="H852" s="167"/>
      <c r="I852" s="167"/>
      <c r="J852" s="167"/>
      <c r="K852" s="167"/>
      <c r="L852" s="167"/>
      <c r="M852" s="167"/>
      <c r="N852" s="167"/>
      <c r="O852" s="167"/>
      <c r="P852" s="173" t="s">
        <v>674</v>
      </c>
      <c r="Q852" s="173" t="s">
        <v>675</v>
      </c>
    </row>
    <row r="853" spans="1:17" s="44" customFormat="1" ht="30" customHeight="1" x14ac:dyDescent="0.35">
      <c r="A853" s="169" t="s">
        <v>704</v>
      </c>
      <c r="B853" s="148"/>
      <c r="C853" s="148"/>
      <c r="D853" s="148"/>
      <c r="E853" s="148"/>
      <c r="F853" s="175"/>
      <c r="G853" s="167"/>
      <c r="H853" s="167"/>
      <c r="I853" s="167"/>
      <c r="J853" s="167"/>
      <c r="K853" s="167"/>
      <c r="L853" s="167"/>
      <c r="M853" s="167"/>
      <c r="N853" s="167"/>
      <c r="O853" s="167"/>
      <c r="P853" s="173" t="s">
        <v>674</v>
      </c>
      <c r="Q853" s="173" t="s">
        <v>675</v>
      </c>
    </row>
    <row r="854" spans="1:17" s="44" customFormat="1" ht="30" customHeight="1" x14ac:dyDescent="0.35">
      <c r="A854" s="169" t="s">
        <v>705</v>
      </c>
      <c r="B854" s="148"/>
      <c r="C854" s="148"/>
      <c r="D854" s="148"/>
      <c r="E854" s="148"/>
      <c r="F854" s="175"/>
      <c r="G854" s="167"/>
      <c r="H854" s="167"/>
      <c r="I854" s="167"/>
      <c r="J854" s="167"/>
      <c r="K854" s="167"/>
      <c r="L854" s="167"/>
      <c r="M854" s="167"/>
      <c r="N854" s="167"/>
      <c r="O854" s="167"/>
      <c r="P854" s="173" t="s">
        <v>674</v>
      </c>
      <c r="Q854" s="173" t="s">
        <v>675</v>
      </c>
    </row>
    <row r="855" spans="1:17" s="44" customFormat="1" ht="30" customHeight="1" x14ac:dyDescent="0.35">
      <c r="A855" s="169" t="s">
        <v>706</v>
      </c>
      <c r="B855" s="148"/>
      <c r="C855" s="148"/>
      <c r="D855" s="148"/>
      <c r="E855" s="148"/>
      <c r="F855" s="175"/>
      <c r="G855" s="167"/>
      <c r="H855" s="167"/>
      <c r="I855" s="167"/>
      <c r="J855" s="167"/>
      <c r="K855" s="167"/>
      <c r="L855" s="167"/>
      <c r="M855" s="167"/>
      <c r="N855" s="167"/>
      <c r="O855" s="167"/>
      <c r="P855" s="173" t="s">
        <v>674</v>
      </c>
      <c r="Q855" s="173" t="s">
        <v>675</v>
      </c>
    </row>
    <row r="856" spans="1:17" s="44" customFormat="1" ht="30" customHeight="1" x14ac:dyDescent="0.35">
      <c r="A856" s="169" t="s">
        <v>707</v>
      </c>
      <c r="B856" s="148"/>
      <c r="C856" s="148"/>
      <c r="D856" s="148"/>
      <c r="E856" s="148"/>
      <c r="F856" s="175"/>
      <c r="G856" s="167"/>
      <c r="H856" s="167"/>
      <c r="I856" s="167"/>
      <c r="J856" s="167"/>
      <c r="K856" s="167"/>
      <c r="L856" s="167"/>
      <c r="M856" s="167"/>
      <c r="N856" s="167"/>
      <c r="O856" s="167"/>
      <c r="P856" s="173" t="s">
        <v>674</v>
      </c>
      <c r="Q856" s="173" t="s">
        <v>675</v>
      </c>
    </row>
    <row r="857" spans="1:17" s="44" customFormat="1" ht="30" customHeight="1" x14ac:dyDescent="0.35">
      <c r="A857" s="169" t="s">
        <v>708</v>
      </c>
      <c r="B857" s="148"/>
      <c r="C857" s="148"/>
      <c r="D857" s="148"/>
      <c r="E857" s="148"/>
      <c r="F857" s="175"/>
      <c r="G857" s="167"/>
      <c r="H857" s="167"/>
      <c r="I857" s="167"/>
      <c r="J857" s="167"/>
      <c r="K857" s="167"/>
      <c r="L857" s="167"/>
      <c r="M857" s="167"/>
      <c r="N857" s="167"/>
      <c r="O857" s="167"/>
      <c r="P857" s="173" t="s">
        <v>674</v>
      </c>
      <c r="Q857" s="173" t="s">
        <v>675</v>
      </c>
    </row>
    <row r="858" spans="1:17" s="44" customFormat="1" ht="30" customHeight="1" x14ac:dyDescent="0.35">
      <c r="A858" s="169" t="s">
        <v>709</v>
      </c>
      <c r="B858" s="148"/>
      <c r="C858" s="148"/>
      <c r="D858" s="148"/>
      <c r="E858" s="148"/>
      <c r="F858" s="175"/>
      <c r="G858" s="167"/>
      <c r="H858" s="167"/>
      <c r="I858" s="167"/>
      <c r="J858" s="167"/>
      <c r="K858" s="167"/>
      <c r="L858" s="167"/>
      <c r="M858" s="167"/>
      <c r="N858" s="167"/>
      <c r="O858" s="167"/>
      <c r="P858" s="173" t="s">
        <v>674</v>
      </c>
      <c r="Q858" s="173" t="s">
        <v>675</v>
      </c>
    </row>
    <row r="859" spans="1:17" s="44" customFormat="1" ht="30" customHeight="1" x14ac:dyDescent="0.35">
      <c r="A859" s="169" t="s">
        <v>710</v>
      </c>
      <c r="B859" s="148"/>
      <c r="C859" s="148"/>
      <c r="D859" s="148"/>
      <c r="E859" s="148"/>
      <c r="F859" s="175"/>
      <c r="G859" s="167"/>
      <c r="H859" s="167"/>
      <c r="I859" s="167"/>
      <c r="J859" s="167"/>
      <c r="K859" s="167"/>
      <c r="L859" s="167"/>
      <c r="M859" s="167"/>
      <c r="N859" s="167"/>
      <c r="O859" s="167"/>
      <c r="P859" s="173" t="s">
        <v>674</v>
      </c>
      <c r="Q859" s="173" t="s">
        <v>675</v>
      </c>
    </row>
    <row r="860" spans="1:17" s="44" customFormat="1" ht="30" customHeight="1" x14ac:dyDescent="0.35">
      <c r="A860" s="169" t="s">
        <v>711</v>
      </c>
      <c r="B860" s="148"/>
      <c r="C860" s="148"/>
      <c r="D860" s="148"/>
      <c r="E860" s="148"/>
      <c r="F860" s="175"/>
      <c r="G860" s="167"/>
      <c r="H860" s="167"/>
      <c r="I860" s="167"/>
      <c r="J860" s="167"/>
      <c r="K860" s="167"/>
      <c r="L860" s="167"/>
      <c r="M860" s="167"/>
      <c r="N860" s="167"/>
      <c r="O860" s="167"/>
      <c r="P860" s="173" t="s">
        <v>674</v>
      </c>
      <c r="Q860" s="173" t="s">
        <v>675</v>
      </c>
    </row>
    <row r="861" spans="1:17" s="44" customFormat="1" ht="30" customHeight="1" x14ac:dyDescent="0.35">
      <c r="A861" s="169" t="s">
        <v>712</v>
      </c>
      <c r="B861" s="148"/>
      <c r="C861" s="148"/>
      <c r="D861" s="148"/>
      <c r="E861" s="148"/>
      <c r="F861" s="175"/>
      <c r="G861" s="167"/>
      <c r="H861" s="167"/>
      <c r="I861" s="167"/>
      <c r="J861" s="167"/>
      <c r="K861" s="167"/>
      <c r="L861" s="167"/>
      <c r="M861" s="167"/>
      <c r="N861" s="167"/>
      <c r="O861" s="167"/>
      <c r="P861" s="173" t="s">
        <v>674</v>
      </c>
      <c r="Q861" s="173" t="s">
        <v>675</v>
      </c>
    </row>
    <row r="862" spans="1:17" s="44" customFormat="1" ht="30" customHeight="1" x14ac:dyDescent="0.35">
      <c r="A862" s="169" t="s">
        <v>713</v>
      </c>
      <c r="B862" s="148"/>
      <c r="C862" s="148"/>
      <c r="D862" s="148"/>
      <c r="E862" s="148"/>
      <c r="F862" s="175"/>
      <c r="G862" s="167"/>
      <c r="H862" s="167"/>
      <c r="I862" s="167"/>
      <c r="J862" s="167"/>
      <c r="K862" s="167"/>
      <c r="L862" s="167"/>
      <c r="M862" s="167"/>
      <c r="N862" s="167"/>
      <c r="O862" s="167"/>
      <c r="P862" s="173" t="s">
        <v>674</v>
      </c>
      <c r="Q862" s="173" t="s">
        <v>675</v>
      </c>
    </row>
    <row r="863" spans="1:17" s="44" customFormat="1" ht="30" customHeight="1" x14ac:dyDescent="0.35">
      <c r="A863" s="169" t="s">
        <v>714</v>
      </c>
      <c r="B863" s="148"/>
      <c r="C863" s="148"/>
      <c r="D863" s="148"/>
      <c r="E863" s="148"/>
      <c r="F863" s="175"/>
      <c r="G863" s="167"/>
      <c r="H863" s="167"/>
      <c r="I863" s="167"/>
      <c r="J863" s="167"/>
      <c r="K863" s="167"/>
      <c r="L863" s="167"/>
      <c r="M863" s="167"/>
      <c r="N863" s="167"/>
      <c r="O863" s="167"/>
      <c r="P863" s="173" t="s">
        <v>674</v>
      </c>
      <c r="Q863" s="173" t="s">
        <v>675</v>
      </c>
    </row>
    <row r="864" spans="1:17" s="44" customFormat="1" ht="30" customHeight="1" x14ac:dyDescent="0.35">
      <c r="A864" s="169" t="s">
        <v>715</v>
      </c>
      <c r="B864" s="148"/>
      <c r="C864" s="148"/>
      <c r="D864" s="148"/>
      <c r="E864" s="148"/>
      <c r="F864" s="175"/>
      <c r="G864" s="167"/>
      <c r="H864" s="167"/>
      <c r="I864" s="167"/>
      <c r="J864" s="167"/>
      <c r="K864" s="167"/>
      <c r="L864" s="167"/>
      <c r="M864" s="167"/>
      <c r="N864" s="167"/>
      <c r="O864" s="167"/>
      <c r="P864" s="173" t="s">
        <v>674</v>
      </c>
      <c r="Q864" s="173" t="s">
        <v>675</v>
      </c>
    </row>
    <row r="865" spans="1:17" s="44" customFormat="1" ht="30" customHeight="1" x14ac:dyDescent="0.35">
      <c r="A865" s="169" t="s">
        <v>716</v>
      </c>
      <c r="B865" s="148"/>
      <c r="C865" s="148"/>
      <c r="D865" s="148"/>
      <c r="E865" s="148"/>
      <c r="F865" s="175"/>
      <c r="G865" s="167"/>
      <c r="H865" s="167"/>
      <c r="I865" s="167"/>
      <c r="J865" s="167"/>
      <c r="K865" s="167"/>
      <c r="L865" s="167"/>
      <c r="M865" s="167"/>
      <c r="N865" s="167"/>
      <c r="O865" s="167"/>
      <c r="P865" s="173" t="s">
        <v>674</v>
      </c>
      <c r="Q865" s="173" t="s">
        <v>675</v>
      </c>
    </row>
    <row r="866" spans="1:17" s="44" customFormat="1" ht="30" customHeight="1" x14ac:dyDescent="0.35">
      <c r="A866" s="169" t="s">
        <v>717</v>
      </c>
      <c r="B866" s="148"/>
      <c r="C866" s="148"/>
      <c r="D866" s="148"/>
      <c r="E866" s="148"/>
      <c r="F866" s="175"/>
      <c r="G866" s="167"/>
      <c r="H866" s="167"/>
      <c r="I866" s="167"/>
      <c r="J866" s="167"/>
      <c r="K866" s="167"/>
      <c r="L866" s="167"/>
      <c r="M866" s="167"/>
      <c r="N866" s="167"/>
      <c r="O866" s="167"/>
      <c r="P866" s="173" t="s">
        <v>674</v>
      </c>
      <c r="Q866" s="173" t="s">
        <v>675</v>
      </c>
    </row>
    <row r="867" spans="1:17" s="44" customFormat="1" ht="30" customHeight="1" x14ac:dyDescent="0.35">
      <c r="A867" s="169" t="s">
        <v>718</v>
      </c>
      <c r="B867" s="148"/>
      <c r="C867" s="148"/>
      <c r="D867" s="148"/>
      <c r="E867" s="148"/>
      <c r="F867" s="175"/>
      <c r="G867" s="167"/>
      <c r="H867" s="167"/>
      <c r="I867" s="167"/>
      <c r="J867" s="167"/>
      <c r="K867" s="167"/>
      <c r="L867" s="167"/>
      <c r="M867" s="167"/>
      <c r="N867" s="167"/>
      <c r="O867" s="167"/>
      <c r="P867" s="173" t="s">
        <v>674</v>
      </c>
      <c r="Q867" s="173" t="s">
        <v>675</v>
      </c>
    </row>
    <row r="868" spans="1:17" s="44" customFormat="1" ht="30" customHeight="1" x14ac:dyDescent="0.35">
      <c r="A868" s="169" t="s">
        <v>719</v>
      </c>
      <c r="B868" s="148"/>
      <c r="C868" s="148"/>
      <c r="D868" s="148"/>
      <c r="E868" s="148"/>
      <c r="F868" s="175"/>
      <c r="G868" s="167"/>
      <c r="H868" s="167"/>
      <c r="I868" s="167"/>
      <c r="J868" s="167"/>
      <c r="K868" s="167"/>
      <c r="L868" s="167"/>
      <c r="M868" s="167"/>
      <c r="N868" s="167"/>
      <c r="O868" s="167"/>
      <c r="P868" s="173" t="s">
        <v>674</v>
      </c>
      <c r="Q868" s="173" t="s">
        <v>675</v>
      </c>
    </row>
    <row r="869" spans="1:17" s="44" customFormat="1" ht="30" customHeight="1" x14ac:dyDescent="0.35">
      <c r="A869" s="169" t="s">
        <v>720</v>
      </c>
      <c r="B869" s="148"/>
      <c r="C869" s="148"/>
      <c r="D869" s="148"/>
      <c r="E869" s="148"/>
      <c r="F869" s="175"/>
      <c r="G869" s="167"/>
      <c r="H869" s="167"/>
      <c r="I869" s="167"/>
      <c r="J869" s="167"/>
      <c r="K869" s="167"/>
      <c r="L869" s="167"/>
      <c r="M869" s="167"/>
      <c r="N869" s="167"/>
      <c r="O869" s="167"/>
      <c r="P869" s="173" t="s">
        <v>674</v>
      </c>
      <c r="Q869" s="173" t="s">
        <v>675</v>
      </c>
    </row>
    <row r="870" spans="1:17" s="44" customFormat="1" ht="30" customHeight="1" x14ac:dyDescent="0.35">
      <c r="A870" s="169" t="s">
        <v>721</v>
      </c>
      <c r="B870" s="148"/>
      <c r="C870" s="148"/>
      <c r="D870" s="148"/>
      <c r="E870" s="148"/>
      <c r="F870" s="175"/>
      <c r="G870" s="167"/>
      <c r="H870" s="167"/>
      <c r="I870" s="167"/>
      <c r="J870" s="167"/>
      <c r="K870" s="167"/>
      <c r="L870" s="167"/>
      <c r="M870" s="167"/>
      <c r="N870" s="167"/>
      <c r="O870" s="167"/>
      <c r="P870" s="173" t="s">
        <v>674</v>
      </c>
      <c r="Q870" s="173" t="s">
        <v>675</v>
      </c>
    </row>
    <row r="871" spans="1:17" s="44" customFormat="1" ht="30" customHeight="1" x14ac:dyDescent="0.35">
      <c r="A871" s="169" t="s">
        <v>722</v>
      </c>
      <c r="B871" s="148"/>
      <c r="C871" s="148"/>
      <c r="D871" s="148"/>
      <c r="E871" s="148"/>
      <c r="F871" s="175"/>
      <c r="G871" s="167"/>
      <c r="H871" s="167"/>
      <c r="I871" s="167"/>
      <c r="J871" s="167"/>
      <c r="K871" s="167"/>
      <c r="L871" s="167"/>
      <c r="M871" s="167"/>
      <c r="N871" s="167"/>
      <c r="O871" s="167"/>
      <c r="P871" s="173" t="s">
        <v>674</v>
      </c>
      <c r="Q871" s="173" t="s">
        <v>675</v>
      </c>
    </row>
    <row r="872" spans="1:17" s="44" customFormat="1" ht="30" customHeight="1" x14ac:dyDescent="0.35">
      <c r="A872" s="169" t="s">
        <v>723</v>
      </c>
      <c r="B872" s="148"/>
      <c r="C872" s="148"/>
      <c r="D872" s="148"/>
      <c r="E872" s="148"/>
      <c r="F872" s="175"/>
      <c r="G872" s="167"/>
      <c r="H872" s="167"/>
      <c r="I872" s="167"/>
      <c r="J872" s="167"/>
      <c r="K872" s="167"/>
      <c r="L872" s="167"/>
      <c r="M872" s="167"/>
      <c r="N872" s="167"/>
      <c r="O872" s="167"/>
      <c r="P872" s="173" t="s">
        <v>674</v>
      </c>
      <c r="Q872" s="173" t="s">
        <v>675</v>
      </c>
    </row>
    <row r="873" spans="1:17" s="44" customFormat="1" ht="30" customHeight="1" x14ac:dyDescent="0.35">
      <c r="A873" s="169" t="s">
        <v>724</v>
      </c>
      <c r="B873" s="148"/>
      <c r="C873" s="148"/>
      <c r="D873" s="148"/>
      <c r="E873" s="148"/>
      <c r="F873" s="175"/>
      <c r="G873" s="167"/>
      <c r="H873" s="167"/>
      <c r="I873" s="167"/>
      <c r="J873" s="167"/>
      <c r="K873" s="167"/>
      <c r="L873" s="167"/>
      <c r="M873" s="167"/>
      <c r="N873" s="167"/>
      <c r="O873" s="167"/>
      <c r="P873" s="173" t="s">
        <v>674</v>
      </c>
      <c r="Q873" s="173" t="s">
        <v>675</v>
      </c>
    </row>
    <row r="874" spans="1:17" s="44" customFormat="1" ht="30" customHeight="1" x14ac:dyDescent="0.35">
      <c r="A874" s="169" t="s">
        <v>725</v>
      </c>
      <c r="B874" s="148"/>
      <c r="C874" s="148"/>
      <c r="D874" s="148"/>
      <c r="E874" s="148"/>
      <c r="F874" s="175"/>
      <c r="G874" s="167"/>
      <c r="H874" s="167"/>
      <c r="I874" s="167"/>
      <c r="J874" s="167"/>
      <c r="K874" s="167"/>
      <c r="L874" s="167"/>
      <c r="M874" s="167"/>
      <c r="N874" s="167"/>
      <c r="O874" s="167"/>
      <c r="P874" s="173" t="s">
        <v>674</v>
      </c>
      <c r="Q874" s="173" t="s">
        <v>675</v>
      </c>
    </row>
    <row r="875" spans="1:17" s="44" customFormat="1" ht="30" customHeight="1" x14ac:dyDescent="0.35">
      <c r="A875" s="169" t="s">
        <v>726</v>
      </c>
      <c r="B875" s="148"/>
      <c r="C875" s="148"/>
      <c r="D875" s="148"/>
      <c r="E875" s="148"/>
      <c r="F875" s="175"/>
      <c r="G875" s="167"/>
      <c r="H875" s="167"/>
      <c r="I875" s="167"/>
      <c r="J875" s="167"/>
      <c r="K875" s="167"/>
      <c r="L875" s="167"/>
      <c r="M875" s="167"/>
      <c r="N875" s="167"/>
      <c r="O875" s="167"/>
      <c r="P875" s="173" t="s">
        <v>674</v>
      </c>
      <c r="Q875" s="173" t="s">
        <v>675</v>
      </c>
    </row>
    <row r="876" spans="1:17" s="44" customFormat="1" ht="30" customHeight="1" x14ac:dyDescent="0.35">
      <c r="A876" s="169" t="s">
        <v>727</v>
      </c>
      <c r="B876" s="148"/>
      <c r="C876" s="148"/>
      <c r="D876" s="148"/>
      <c r="E876" s="148"/>
      <c r="F876" s="175"/>
      <c r="G876" s="167"/>
      <c r="H876" s="167"/>
      <c r="I876" s="167"/>
      <c r="J876" s="167"/>
      <c r="K876" s="167"/>
      <c r="L876" s="167"/>
      <c r="M876" s="167"/>
      <c r="N876" s="167"/>
      <c r="O876" s="167"/>
      <c r="P876" s="173" t="s">
        <v>674</v>
      </c>
      <c r="Q876" s="173" t="s">
        <v>675</v>
      </c>
    </row>
    <row r="877" spans="1:17" s="44" customFormat="1" ht="30" customHeight="1" x14ac:dyDescent="0.35">
      <c r="A877" s="169" t="s">
        <v>728</v>
      </c>
      <c r="B877" s="148"/>
      <c r="C877" s="148"/>
      <c r="D877" s="148"/>
      <c r="E877" s="148"/>
      <c r="F877" s="175"/>
      <c r="G877" s="167"/>
      <c r="H877" s="167"/>
      <c r="I877" s="167"/>
      <c r="J877" s="167"/>
      <c r="K877" s="167"/>
      <c r="L877" s="167"/>
      <c r="M877" s="167"/>
      <c r="N877" s="167"/>
      <c r="O877" s="167"/>
      <c r="P877" s="173" t="s">
        <v>674</v>
      </c>
      <c r="Q877" s="173" t="s">
        <v>675</v>
      </c>
    </row>
    <row r="878" spans="1:17" s="44" customFormat="1" ht="30" customHeight="1" x14ac:dyDescent="0.35">
      <c r="A878" s="169" t="s">
        <v>729</v>
      </c>
      <c r="B878" s="148"/>
      <c r="C878" s="148"/>
      <c r="D878" s="148"/>
      <c r="E878" s="148"/>
      <c r="F878" s="175"/>
      <c r="G878" s="167"/>
      <c r="H878" s="167"/>
      <c r="I878" s="167"/>
      <c r="J878" s="167"/>
      <c r="K878" s="167"/>
      <c r="L878" s="167"/>
      <c r="M878" s="167"/>
      <c r="N878" s="167"/>
      <c r="O878" s="167"/>
      <c r="P878" s="173" t="s">
        <v>674</v>
      </c>
      <c r="Q878" s="173" t="s">
        <v>675</v>
      </c>
    </row>
    <row r="879" spans="1:17" s="44" customFormat="1" ht="30" customHeight="1" x14ac:dyDescent="0.35">
      <c r="A879" s="169" t="s">
        <v>730</v>
      </c>
      <c r="B879" s="148"/>
      <c r="C879" s="148"/>
      <c r="D879" s="148"/>
      <c r="E879" s="148"/>
      <c r="F879" s="175"/>
      <c r="G879" s="167"/>
      <c r="H879" s="167"/>
      <c r="I879" s="167"/>
      <c r="J879" s="167"/>
      <c r="K879" s="167"/>
      <c r="L879" s="167"/>
      <c r="M879" s="167"/>
      <c r="N879" s="167"/>
      <c r="O879" s="167"/>
      <c r="P879" s="173" t="s">
        <v>674</v>
      </c>
      <c r="Q879" s="173" t="s">
        <v>675</v>
      </c>
    </row>
    <row r="880" spans="1:17" s="44" customFormat="1" ht="30" customHeight="1" x14ac:dyDescent="0.35">
      <c r="A880" s="169" t="s">
        <v>731</v>
      </c>
      <c r="B880" s="148"/>
      <c r="C880" s="148"/>
      <c r="D880" s="148"/>
      <c r="E880" s="148"/>
      <c r="F880" s="175"/>
      <c r="G880" s="167"/>
      <c r="H880" s="167"/>
      <c r="I880" s="167"/>
      <c r="J880" s="167"/>
      <c r="K880" s="167"/>
      <c r="L880" s="167"/>
      <c r="M880" s="167"/>
      <c r="N880" s="167"/>
      <c r="O880" s="167"/>
      <c r="P880" s="173" t="s">
        <v>674</v>
      </c>
      <c r="Q880" s="173" t="s">
        <v>675</v>
      </c>
    </row>
    <row r="881" spans="1:17" s="44" customFormat="1" ht="30" customHeight="1" x14ac:dyDescent="0.35">
      <c r="A881" s="169" t="s">
        <v>732</v>
      </c>
      <c r="B881" s="148"/>
      <c r="C881" s="148"/>
      <c r="D881" s="148"/>
      <c r="E881" s="148"/>
      <c r="F881" s="175"/>
      <c r="G881" s="167"/>
      <c r="H881" s="167"/>
      <c r="I881" s="167"/>
      <c r="J881" s="167"/>
      <c r="K881" s="167"/>
      <c r="L881" s="167"/>
      <c r="M881" s="167"/>
      <c r="N881" s="167"/>
      <c r="O881" s="167"/>
      <c r="P881" s="173" t="s">
        <v>674</v>
      </c>
      <c r="Q881" s="173" t="s">
        <v>675</v>
      </c>
    </row>
    <row r="882" spans="1:17" s="44" customFormat="1" ht="30" customHeight="1" x14ac:dyDescent="0.35">
      <c r="A882" s="169" t="s">
        <v>733</v>
      </c>
      <c r="B882" s="148"/>
      <c r="C882" s="148"/>
      <c r="D882" s="148"/>
      <c r="E882" s="148"/>
      <c r="F882" s="175"/>
      <c r="G882" s="167"/>
      <c r="H882" s="167"/>
      <c r="I882" s="167"/>
      <c r="J882" s="167"/>
      <c r="K882" s="167"/>
      <c r="L882" s="167"/>
      <c r="M882" s="167"/>
      <c r="N882" s="167"/>
      <c r="O882" s="167"/>
      <c r="P882" s="173" t="s">
        <v>674</v>
      </c>
      <c r="Q882" s="173" t="s">
        <v>675</v>
      </c>
    </row>
    <row r="883" spans="1:17" s="44" customFormat="1" ht="30" customHeight="1" x14ac:dyDescent="0.35">
      <c r="A883" s="169" t="s">
        <v>734</v>
      </c>
      <c r="B883" s="148"/>
      <c r="C883" s="148"/>
      <c r="D883" s="148"/>
      <c r="E883" s="148"/>
      <c r="F883" s="175"/>
      <c r="G883" s="167"/>
      <c r="H883" s="167"/>
      <c r="I883" s="167"/>
      <c r="J883" s="167"/>
      <c r="K883" s="167"/>
      <c r="L883" s="167"/>
      <c r="M883" s="167"/>
      <c r="N883" s="167"/>
      <c r="O883" s="167"/>
      <c r="P883" s="173" t="s">
        <v>674</v>
      </c>
      <c r="Q883" s="173" t="s">
        <v>675</v>
      </c>
    </row>
    <row r="884" spans="1:17" s="44" customFormat="1" ht="30" customHeight="1" x14ac:dyDescent="0.35">
      <c r="A884" s="169" t="s">
        <v>735</v>
      </c>
      <c r="B884" s="148"/>
      <c r="C884" s="148"/>
      <c r="D884" s="148"/>
      <c r="E884" s="148"/>
      <c r="F884" s="175"/>
      <c r="G884" s="167"/>
      <c r="H884" s="167"/>
      <c r="I884" s="167"/>
      <c r="J884" s="167"/>
      <c r="K884" s="167"/>
      <c r="L884" s="167"/>
      <c r="M884" s="167"/>
      <c r="N884" s="167"/>
      <c r="O884" s="167"/>
      <c r="P884" s="173" t="s">
        <v>674</v>
      </c>
      <c r="Q884" s="173" t="s">
        <v>675</v>
      </c>
    </row>
    <row r="885" spans="1:17" s="44" customFormat="1" ht="30" customHeight="1" x14ac:dyDescent="0.35">
      <c r="A885" s="169" t="s">
        <v>736</v>
      </c>
      <c r="B885" s="148"/>
      <c r="C885" s="148"/>
      <c r="D885" s="148"/>
      <c r="E885" s="148"/>
      <c r="F885" s="175"/>
      <c r="G885" s="167"/>
      <c r="H885" s="167"/>
      <c r="I885" s="167"/>
      <c r="J885" s="167"/>
      <c r="K885" s="167"/>
      <c r="L885" s="167"/>
      <c r="M885" s="167"/>
      <c r="N885" s="167"/>
      <c r="O885" s="167"/>
      <c r="P885" s="173" t="s">
        <v>674</v>
      </c>
      <c r="Q885" s="173" t="s">
        <v>675</v>
      </c>
    </row>
    <row r="886" spans="1:17" s="44" customFormat="1" ht="30" customHeight="1" x14ac:dyDescent="0.35">
      <c r="A886" s="169" t="s">
        <v>737</v>
      </c>
      <c r="B886" s="148"/>
      <c r="C886" s="148"/>
      <c r="D886" s="148"/>
      <c r="E886" s="148"/>
      <c r="F886" s="175"/>
      <c r="G886" s="167"/>
      <c r="H886" s="167"/>
      <c r="I886" s="167"/>
      <c r="J886" s="167"/>
      <c r="K886" s="167"/>
      <c r="L886" s="167"/>
      <c r="M886" s="167"/>
      <c r="N886" s="167"/>
      <c r="O886" s="167"/>
      <c r="P886" s="173" t="s">
        <v>674</v>
      </c>
      <c r="Q886" s="173" t="s">
        <v>675</v>
      </c>
    </row>
    <row r="887" spans="1:17" ht="30" customHeight="1" x14ac:dyDescent="0.35">
      <c r="A887" s="169" t="s">
        <v>738</v>
      </c>
      <c r="B887" s="148"/>
      <c r="C887" s="148"/>
      <c r="D887" s="148"/>
      <c r="E887" s="148"/>
      <c r="F887" s="175"/>
      <c r="G887" s="167"/>
      <c r="H887" s="167"/>
      <c r="I887" s="167"/>
      <c r="J887" s="167"/>
      <c r="K887" s="167"/>
      <c r="L887" s="167"/>
      <c r="M887" s="167"/>
      <c r="N887" s="167"/>
      <c r="O887" s="167"/>
      <c r="P887" s="173" t="s">
        <v>674</v>
      </c>
      <c r="Q887" s="173" t="s">
        <v>675</v>
      </c>
    </row>
    <row r="888" spans="1:17" ht="30" customHeight="1" x14ac:dyDescent="0.35">
      <c r="A888" s="176" t="s">
        <v>747</v>
      </c>
      <c r="B888" s="178"/>
      <c r="C888" s="178"/>
      <c r="D888" s="178"/>
      <c r="E888" s="178"/>
      <c r="F888" s="179"/>
      <c r="G888" s="180"/>
      <c r="H888" s="180"/>
      <c r="I888" s="180"/>
      <c r="J888" s="180"/>
      <c r="K888" s="180"/>
      <c r="L888" s="180"/>
      <c r="M888" s="180"/>
      <c r="N888" s="180"/>
      <c r="O888" s="180"/>
      <c r="P888" s="177" t="s">
        <v>641</v>
      </c>
      <c r="Q888" s="177" t="s">
        <v>642</v>
      </c>
    </row>
    <row r="889" spans="1:17" ht="30" customHeight="1" x14ac:dyDescent="0.35">
      <c r="A889" s="148" t="s">
        <v>740</v>
      </c>
      <c r="B889" s="128"/>
      <c r="C889" s="128"/>
      <c r="D889" s="128"/>
      <c r="E889" s="128"/>
      <c r="F889" s="175"/>
      <c r="G889" s="132"/>
      <c r="H889" s="132"/>
      <c r="I889" s="132"/>
      <c r="J889" s="132"/>
      <c r="K889" s="132"/>
      <c r="L889" s="132"/>
      <c r="M889" s="132"/>
      <c r="N889" s="132"/>
      <c r="O889" s="132"/>
      <c r="P889" s="173" t="s">
        <v>739</v>
      </c>
      <c r="Q889" s="173" t="s">
        <v>675</v>
      </c>
    </row>
    <row r="890" spans="1:17" ht="30" customHeight="1" x14ac:dyDescent="0.35">
      <c r="A890" s="148" t="s">
        <v>741</v>
      </c>
      <c r="B890" s="128"/>
      <c r="C890" s="128"/>
      <c r="D890" s="128"/>
      <c r="E890" s="128"/>
      <c r="F890" s="175"/>
      <c r="G890" s="132"/>
      <c r="H890" s="132"/>
      <c r="I890" s="132"/>
      <c r="J890" s="132"/>
      <c r="K890" s="132"/>
      <c r="L890" s="132"/>
      <c r="M890" s="132"/>
      <c r="N890" s="132"/>
      <c r="O890" s="132"/>
      <c r="P890" s="173" t="s">
        <v>739</v>
      </c>
      <c r="Q890" s="173" t="s">
        <v>675</v>
      </c>
    </row>
    <row r="891" spans="1:17" ht="30" customHeight="1" x14ac:dyDescent="0.35">
      <c r="A891" s="176" t="s">
        <v>850</v>
      </c>
      <c r="B891" s="178"/>
      <c r="C891" s="178"/>
      <c r="D891" s="178"/>
      <c r="E891" s="178"/>
      <c r="F891" s="179"/>
      <c r="G891" s="180"/>
      <c r="H891" s="180"/>
      <c r="I891" s="180"/>
      <c r="J891" s="180"/>
      <c r="K891" s="180"/>
      <c r="L891" s="180"/>
      <c r="M891" s="180"/>
      <c r="N891" s="180"/>
      <c r="O891" s="180"/>
      <c r="P891" s="177" t="s">
        <v>641</v>
      </c>
      <c r="Q891" s="177" t="s">
        <v>642</v>
      </c>
    </row>
    <row r="892" spans="1:17" ht="30" customHeight="1" x14ac:dyDescent="0.35">
      <c r="A892" s="139" t="s">
        <v>851</v>
      </c>
      <c r="B892" s="134"/>
      <c r="C892" s="134"/>
      <c r="D892" s="134"/>
      <c r="E892" s="134"/>
      <c r="F892" s="202"/>
      <c r="G892" s="203"/>
      <c r="H892" s="203"/>
      <c r="I892" s="203"/>
      <c r="J892" s="203"/>
      <c r="K892" s="203"/>
      <c r="L892" s="203"/>
      <c r="M892" s="203"/>
      <c r="N892" s="203"/>
      <c r="O892" s="203"/>
      <c r="P892" s="207" t="s">
        <v>739</v>
      </c>
      <c r="Q892" s="207" t="s">
        <v>645</v>
      </c>
    </row>
    <row r="893" spans="1:17" ht="30" customHeight="1" x14ac:dyDescent="0.35">
      <c r="A893" s="139" t="s">
        <v>852</v>
      </c>
      <c r="B893" s="134"/>
      <c r="C893" s="134"/>
      <c r="D893" s="134"/>
      <c r="E893" s="134"/>
      <c r="F893" s="202"/>
      <c r="G893" s="203"/>
      <c r="H893" s="203"/>
      <c r="I893" s="203"/>
      <c r="J893" s="203"/>
      <c r="K893" s="203"/>
      <c r="L893" s="203"/>
      <c r="M893" s="203"/>
      <c r="N893" s="203"/>
      <c r="O893" s="203"/>
      <c r="P893" s="207" t="s">
        <v>739</v>
      </c>
      <c r="Q893" s="207" t="s">
        <v>645</v>
      </c>
    </row>
    <row r="894" spans="1:17" ht="30" customHeight="1" x14ac:dyDescent="0.35">
      <c r="A894" s="176" t="s">
        <v>853</v>
      </c>
      <c r="B894" s="178"/>
      <c r="C894" s="178"/>
      <c r="D894" s="178"/>
      <c r="E894" s="178"/>
      <c r="F894" s="179"/>
      <c r="G894" s="180"/>
      <c r="H894" s="180"/>
      <c r="I894" s="180"/>
      <c r="J894" s="180"/>
      <c r="K894" s="180"/>
      <c r="L894" s="180"/>
      <c r="M894" s="180"/>
      <c r="N894" s="180"/>
      <c r="O894" s="180"/>
      <c r="P894" s="177" t="s">
        <v>641</v>
      </c>
      <c r="Q894" s="177" t="s">
        <v>642</v>
      </c>
    </row>
    <row r="895" spans="1:17" ht="30" customHeight="1" x14ac:dyDescent="0.35">
      <c r="A895" s="208" t="s">
        <v>854</v>
      </c>
      <c r="B895" s="134"/>
      <c r="C895" s="134"/>
      <c r="D895" s="134"/>
      <c r="E895" s="134"/>
      <c r="F895" s="202"/>
      <c r="G895" s="203"/>
      <c r="H895" s="203"/>
      <c r="I895" s="203"/>
      <c r="J895" s="203"/>
      <c r="K895" s="203"/>
      <c r="L895" s="203"/>
      <c r="M895" s="203"/>
      <c r="N895" s="203"/>
      <c r="O895" s="203"/>
      <c r="P895" s="207" t="s">
        <v>855</v>
      </c>
      <c r="Q895" s="207" t="s">
        <v>645</v>
      </c>
    </row>
    <row r="896" spans="1:17" ht="30" customHeight="1" x14ac:dyDescent="0.35">
      <c r="A896" s="208" t="s">
        <v>856</v>
      </c>
      <c r="B896" s="134"/>
      <c r="C896" s="134"/>
      <c r="D896" s="134"/>
      <c r="E896" s="134"/>
      <c r="F896" s="202"/>
      <c r="G896" s="203"/>
      <c r="H896" s="203"/>
      <c r="I896" s="203"/>
      <c r="J896" s="203"/>
      <c r="K896" s="203"/>
      <c r="L896" s="203"/>
      <c r="M896" s="203"/>
      <c r="N896" s="203"/>
      <c r="O896" s="203"/>
      <c r="P896" s="207" t="s">
        <v>857</v>
      </c>
      <c r="Q896" s="207" t="s">
        <v>645</v>
      </c>
    </row>
    <row r="897" spans="1:17" ht="30" customHeight="1" x14ac:dyDescent="0.35">
      <c r="A897" s="208" t="s">
        <v>858</v>
      </c>
      <c r="B897" s="134"/>
      <c r="C897" s="134"/>
      <c r="D897" s="134"/>
      <c r="E897" s="134"/>
      <c r="F897" s="202"/>
      <c r="G897" s="203"/>
      <c r="H897" s="203"/>
      <c r="I897" s="203"/>
      <c r="J897" s="203"/>
      <c r="K897" s="203"/>
      <c r="L897" s="203"/>
      <c r="M897" s="203"/>
      <c r="N897" s="203"/>
      <c r="O897" s="203"/>
      <c r="P897" s="207" t="s">
        <v>857</v>
      </c>
      <c r="Q897" s="207" t="s">
        <v>645</v>
      </c>
    </row>
    <row r="898" spans="1:17" ht="30" customHeight="1" x14ac:dyDescent="0.35">
      <c r="A898" s="208" t="s">
        <v>859</v>
      </c>
      <c r="B898" s="134"/>
      <c r="C898" s="134"/>
      <c r="D898" s="134"/>
      <c r="E898" s="134"/>
      <c r="F898" s="202"/>
      <c r="G898" s="203"/>
      <c r="H898" s="203"/>
      <c r="I898" s="203"/>
      <c r="J898" s="203"/>
      <c r="K898" s="203"/>
      <c r="L898" s="203"/>
      <c r="M898" s="203"/>
      <c r="N898" s="203"/>
      <c r="O898" s="203"/>
      <c r="P898" s="207" t="s">
        <v>855</v>
      </c>
      <c r="Q898" s="207" t="s">
        <v>645</v>
      </c>
    </row>
    <row r="899" spans="1:17" ht="30" customHeight="1" x14ac:dyDescent="0.35">
      <c r="A899" s="208" t="s">
        <v>860</v>
      </c>
      <c r="B899" s="134"/>
      <c r="C899" s="134"/>
      <c r="D899" s="134"/>
      <c r="E899" s="134"/>
      <c r="F899" s="202"/>
      <c r="G899" s="203"/>
      <c r="H899" s="203"/>
      <c r="I899" s="203"/>
      <c r="J899" s="203"/>
      <c r="K899" s="203"/>
      <c r="L899" s="203"/>
      <c r="M899" s="203"/>
      <c r="N899" s="203"/>
      <c r="O899" s="203"/>
      <c r="P899" s="207" t="s">
        <v>855</v>
      </c>
      <c r="Q899" s="207" t="s">
        <v>645</v>
      </c>
    </row>
    <row r="900" spans="1:17" ht="30" customHeight="1" x14ac:dyDescent="0.35">
      <c r="A900" s="208" t="s">
        <v>861</v>
      </c>
      <c r="B900" s="134"/>
      <c r="C900" s="134"/>
      <c r="D900" s="134"/>
      <c r="E900" s="134"/>
      <c r="F900" s="202"/>
      <c r="G900" s="203"/>
      <c r="H900" s="203"/>
      <c r="I900" s="203"/>
      <c r="J900" s="203"/>
      <c r="K900" s="203"/>
      <c r="L900" s="203"/>
      <c r="M900" s="203"/>
      <c r="N900" s="203"/>
      <c r="O900" s="203"/>
      <c r="P900" s="207" t="s">
        <v>855</v>
      </c>
      <c r="Q900" s="207" t="s">
        <v>645</v>
      </c>
    </row>
    <row r="901" spans="1:17" ht="30" customHeight="1" x14ac:dyDescent="0.35">
      <c r="A901" s="208" t="s">
        <v>862</v>
      </c>
      <c r="B901" s="134"/>
      <c r="C901" s="134"/>
      <c r="D901" s="134"/>
      <c r="E901" s="134"/>
      <c r="F901" s="202"/>
      <c r="G901" s="203"/>
      <c r="H901" s="203"/>
      <c r="I901" s="203"/>
      <c r="J901" s="203"/>
      <c r="K901" s="203"/>
      <c r="L901" s="203"/>
      <c r="M901" s="203"/>
      <c r="N901" s="203"/>
      <c r="O901" s="203"/>
      <c r="P901" s="207" t="s">
        <v>855</v>
      </c>
      <c r="Q901" s="207" t="s">
        <v>645</v>
      </c>
    </row>
    <row r="902" spans="1:17" ht="30" customHeight="1" x14ac:dyDescent="0.35">
      <c r="A902" s="208" t="s">
        <v>863</v>
      </c>
      <c r="B902" s="134"/>
      <c r="C902" s="134"/>
      <c r="D902" s="134"/>
      <c r="E902" s="134"/>
      <c r="F902" s="202"/>
      <c r="G902" s="203"/>
      <c r="H902" s="203"/>
      <c r="I902" s="203"/>
      <c r="J902" s="203"/>
      <c r="K902" s="203"/>
      <c r="L902" s="203"/>
      <c r="M902" s="203"/>
      <c r="N902" s="203"/>
      <c r="O902" s="203"/>
      <c r="P902" s="207" t="s">
        <v>855</v>
      </c>
      <c r="Q902" s="207" t="s">
        <v>645</v>
      </c>
    </row>
    <row r="903" spans="1:17" ht="30" customHeight="1" x14ac:dyDescent="0.35">
      <c r="A903" s="208" t="s">
        <v>864</v>
      </c>
      <c r="B903" s="134"/>
      <c r="C903" s="134"/>
      <c r="D903" s="134"/>
      <c r="E903" s="134"/>
      <c r="F903" s="202"/>
      <c r="G903" s="203"/>
      <c r="H903" s="203"/>
      <c r="I903" s="203"/>
      <c r="J903" s="203"/>
      <c r="K903" s="203"/>
      <c r="L903" s="203"/>
      <c r="M903" s="203"/>
      <c r="N903" s="203"/>
      <c r="O903" s="203"/>
      <c r="P903" s="207" t="s">
        <v>855</v>
      </c>
      <c r="Q903" s="207" t="s">
        <v>645</v>
      </c>
    </row>
    <row r="904" spans="1:17" ht="30" customHeight="1" x14ac:dyDescent="0.35">
      <c r="A904" s="208" t="s">
        <v>865</v>
      </c>
      <c r="B904" s="134"/>
      <c r="C904" s="134"/>
      <c r="D904" s="134"/>
      <c r="E904" s="134"/>
      <c r="F904" s="202"/>
      <c r="G904" s="203"/>
      <c r="H904" s="203"/>
      <c r="I904" s="203"/>
      <c r="J904" s="203"/>
      <c r="K904" s="203"/>
      <c r="L904" s="203"/>
      <c r="M904" s="203"/>
      <c r="N904" s="203"/>
      <c r="O904" s="203"/>
      <c r="P904" s="207" t="s">
        <v>855</v>
      </c>
      <c r="Q904" s="207" t="s">
        <v>645</v>
      </c>
    </row>
    <row r="905" spans="1:17" ht="30" customHeight="1" x14ac:dyDescent="0.35">
      <c r="A905" s="208" t="s">
        <v>866</v>
      </c>
      <c r="B905" s="134"/>
      <c r="C905" s="134"/>
      <c r="D905" s="134"/>
      <c r="E905" s="134"/>
      <c r="F905" s="202"/>
      <c r="G905" s="203"/>
      <c r="H905" s="203"/>
      <c r="I905" s="203"/>
      <c r="J905" s="203"/>
      <c r="K905" s="203"/>
      <c r="L905" s="203"/>
      <c r="M905" s="203"/>
      <c r="N905" s="203"/>
      <c r="O905" s="203"/>
      <c r="P905" s="207" t="s">
        <v>855</v>
      </c>
      <c r="Q905" s="207" t="s">
        <v>645</v>
      </c>
    </row>
    <row r="906" spans="1:17" ht="30" customHeight="1" x14ac:dyDescent="0.35">
      <c r="A906" s="208" t="s">
        <v>867</v>
      </c>
      <c r="B906" s="134"/>
      <c r="C906" s="134"/>
      <c r="D906" s="134"/>
      <c r="E906" s="134"/>
      <c r="F906" s="202"/>
      <c r="G906" s="203"/>
      <c r="H906" s="203"/>
      <c r="I906" s="203"/>
      <c r="J906" s="203"/>
      <c r="K906" s="203"/>
      <c r="L906" s="203"/>
      <c r="M906" s="203"/>
      <c r="N906" s="203"/>
      <c r="O906" s="203"/>
      <c r="P906" s="207" t="s">
        <v>857</v>
      </c>
      <c r="Q906" s="207" t="s">
        <v>645</v>
      </c>
    </row>
    <row r="907" spans="1:17" ht="30" customHeight="1" x14ac:dyDescent="0.35">
      <c r="A907" s="208" t="s">
        <v>868</v>
      </c>
      <c r="B907" s="134"/>
      <c r="C907" s="134"/>
      <c r="D907" s="134"/>
      <c r="E907" s="134"/>
      <c r="F907" s="202"/>
      <c r="G907" s="203"/>
      <c r="H907" s="203"/>
      <c r="I907" s="203"/>
      <c r="J907" s="203"/>
      <c r="K907" s="203"/>
      <c r="L907" s="203"/>
      <c r="M907" s="203"/>
      <c r="N907" s="203"/>
      <c r="O907" s="203"/>
      <c r="P907" s="207" t="s">
        <v>855</v>
      </c>
      <c r="Q907" s="207" t="s">
        <v>645</v>
      </c>
    </row>
    <row r="908" spans="1:17" ht="30" customHeight="1" x14ac:dyDescent="0.35">
      <c r="A908" s="208" t="s">
        <v>869</v>
      </c>
      <c r="B908" s="134"/>
      <c r="C908" s="134"/>
      <c r="D908" s="134"/>
      <c r="E908" s="134"/>
      <c r="F908" s="202"/>
      <c r="G908" s="203"/>
      <c r="H908" s="203"/>
      <c r="I908" s="203"/>
      <c r="J908" s="203"/>
      <c r="K908" s="203"/>
      <c r="L908" s="203"/>
      <c r="M908" s="203"/>
      <c r="N908" s="203"/>
      <c r="O908" s="203"/>
      <c r="P908" s="207" t="s">
        <v>855</v>
      </c>
      <c r="Q908" s="207" t="s">
        <v>645</v>
      </c>
    </row>
    <row r="909" spans="1:17" ht="30" customHeight="1" x14ac:dyDescent="0.35">
      <c r="A909" s="208" t="s">
        <v>870</v>
      </c>
      <c r="B909" s="134"/>
      <c r="C909" s="134"/>
      <c r="D909" s="134"/>
      <c r="E909" s="134"/>
      <c r="F909" s="202"/>
      <c r="G909" s="203"/>
      <c r="H909" s="203"/>
      <c r="I909" s="203"/>
      <c r="J909" s="203"/>
      <c r="K909" s="203"/>
      <c r="L909" s="203"/>
      <c r="M909" s="203"/>
      <c r="N909" s="203"/>
      <c r="O909" s="203"/>
      <c r="P909" s="207" t="s">
        <v>855</v>
      </c>
      <c r="Q909" s="207" t="s">
        <v>645</v>
      </c>
    </row>
    <row r="910" spans="1:17" ht="30" customHeight="1" x14ac:dyDescent="0.35">
      <c r="A910" s="208" t="s">
        <v>871</v>
      </c>
      <c r="B910" s="134"/>
      <c r="C910" s="134"/>
      <c r="D910" s="134"/>
      <c r="E910" s="134"/>
      <c r="F910" s="202"/>
      <c r="G910" s="203"/>
      <c r="H910" s="203"/>
      <c r="I910" s="203"/>
      <c r="J910" s="203"/>
      <c r="K910" s="203"/>
      <c r="L910" s="203"/>
      <c r="M910" s="203"/>
      <c r="N910" s="203"/>
      <c r="O910" s="203"/>
      <c r="P910" s="207" t="s">
        <v>855</v>
      </c>
      <c r="Q910" s="207" t="s">
        <v>645</v>
      </c>
    </row>
    <row r="911" spans="1:17" ht="30" customHeight="1" x14ac:dyDescent="0.35">
      <c r="A911" s="208" t="s">
        <v>872</v>
      </c>
      <c r="B911" s="134"/>
      <c r="C911" s="134"/>
      <c r="D911" s="134"/>
      <c r="E911" s="134"/>
      <c r="F911" s="202"/>
      <c r="G911" s="203"/>
      <c r="H911" s="203"/>
      <c r="I911" s="203"/>
      <c r="J911" s="203"/>
      <c r="K911" s="203"/>
      <c r="L911" s="203"/>
      <c r="M911" s="203"/>
      <c r="N911" s="203"/>
      <c r="O911" s="203"/>
      <c r="P911" s="207" t="s">
        <v>855</v>
      </c>
      <c r="Q911" s="207" t="s">
        <v>645</v>
      </c>
    </row>
    <row r="912" spans="1:17" ht="30" customHeight="1" x14ac:dyDescent="0.35">
      <c r="A912" s="208" t="s">
        <v>873</v>
      </c>
      <c r="B912" s="134"/>
      <c r="C912" s="134"/>
      <c r="D912" s="134"/>
      <c r="E912" s="134"/>
      <c r="F912" s="202"/>
      <c r="G912" s="203"/>
      <c r="H912" s="203"/>
      <c r="I912" s="203"/>
      <c r="J912" s="203"/>
      <c r="K912" s="203"/>
      <c r="L912" s="203"/>
      <c r="M912" s="203"/>
      <c r="N912" s="203"/>
      <c r="O912" s="203"/>
      <c r="P912" s="207" t="s">
        <v>855</v>
      </c>
      <c r="Q912" s="207" t="s">
        <v>645</v>
      </c>
    </row>
    <row r="913" spans="1:17" ht="30" customHeight="1" x14ac:dyDescent="0.35">
      <c r="A913" s="208" t="s">
        <v>874</v>
      </c>
      <c r="B913" s="134"/>
      <c r="C913" s="134"/>
      <c r="D913" s="134"/>
      <c r="E913" s="134"/>
      <c r="F913" s="202"/>
      <c r="G913" s="203"/>
      <c r="H913" s="203"/>
      <c r="I913" s="203"/>
      <c r="J913" s="203"/>
      <c r="K913" s="203"/>
      <c r="L913" s="203"/>
      <c r="M913" s="203"/>
      <c r="N913" s="203"/>
      <c r="O913" s="203"/>
      <c r="P913" s="207" t="s">
        <v>855</v>
      </c>
      <c r="Q913" s="207" t="s">
        <v>645</v>
      </c>
    </row>
    <row r="914" spans="1:17" ht="30" customHeight="1" x14ac:dyDescent="0.35">
      <c r="A914" s="208" t="s">
        <v>875</v>
      </c>
      <c r="B914" s="134"/>
      <c r="C914" s="134"/>
      <c r="D914" s="134"/>
      <c r="E914" s="134"/>
      <c r="F914" s="202"/>
      <c r="G914" s="203"/>
      <c r="H914" s="203"/>
      <c r="I914" s="203"/>
      <c r="J914" s="203"/>
      <c r="K914" s="203"/>
      <c r="L914" s="203"/>
      <c r="M914" s="203"/>
      <c r="N914" s="203"/>
      <c r="O914" s="203"/>
      <c r="P914" s="207" t="s">
        <v>857</v>
      </c>
      <c r="Q914" s="207" t="s">
        <v>645</v>
      </c>
    </row>
    <row r="915" spans="1:17" ht="30" customHeight="1" x14ac:dyDescent="0.35">
      <c r="A915" s="208" t="s">
        <v>876</v>
      </c>
      <c r="B915" s="134"/>
      <c r="C915" s="134"/>
      <c r="D915" s="134"/>
      <c r="E915" s="134"/>
      <c r="F915" s="202"/>
      <c r="G915" s="203"/>
      <c r="H915" s="203"/>
      <c r="I915" s="203"/>
      <c r="J915" s="203"/>
      <c r="K915" s="203"/>
      <c r="L915" s="203"/>
      <c r="M915" s="203"/>
      <c r="N915" s="203"/>
      <c r="O915" s="203"/>
      <c r="P915" s="207" t="s">
        <v>855</v>
      </c>
      <c r="Q915" s="207" t="s">
        <v>645</v>
      </c>
    </row>
    <row r="916" spans="1:17" ht="30" customHeight="1" x14ac:dyDescent="0.35">
      <c r="A916" s="208" t="s">
        <v>877</v>
      </c>
      <c r="B916" s="134"/>
      <c r="C916" s="134"/>
      <c r="D916" s="134"/>
      <c r="E916" s="134"/>
      <c r="F916" s="202"/>
      <c r="G916" s="203"/>
      <c r="H916" s="203"/>
      <c r="I916" s="203"/>
      <c r="J916" s="203"/>
      <c r="K916" s="203"/>
      <c r="L916" s="203"/>
      <c r="M916" s="203"/>
      <c r="N916" s="203"/>
      <c r="O916" s="203"/>
      <c r="P916" s="207" t="s">
        <v>855</v>
      </c>
      <c r="Q916" s="207" t="s">
        <v>645</v>
      </c>
    </row>
    <row r="917" spans="1:17" ht="30" customHeight="1" x14ac:dyDescent="0.35">
      <c r="A917" s="208" t="s">
        <v>878</v>
      </c>
      <c r="B917" s="134"/>
      <c r="C917" s="134"/>
      <c r="D917" s="134"/>
      <c r="E917" s="134"/>
      <c r="F917" s="202"/>
      <c r="G917" s="1"/>
      <c r="H917" s="203"/>
      <c r="I917" s="203"/>
      <c r="J917" s="203"/>
      <c r="K917" s="203"/>
      <c r="L917" s="203"/>
      <c r="M917" s="203"/>
      <c r="N917" s="203"/>
      <c r="O917" s="203"/>
      <c r="P917" s="207" t="s">
        <v>855</v>
      </c>
      <c r="Q917" s="207" t="s">
        <v>645</v>
      </c>
    </row>
    <row r="918" spans="1:17" ht="30" customHeight="1" x14ac:dyDescent="0.35">
      <c r="A918" s="208" t="s">
        <v>879</v>
      </c>
      <c r="B918" s="134"/>
      <c r="C918" s="134"/>
      <c r="D918" s="134"/>
      <c r="E918" s="134"/>
      <c r="F918" s="202"/>
      <c r="G918" s="203"/>
      <c r="H918" s="203"/>
      <c r="I918" s="203"/>
      <c r="J918" s="203"/>
      <c r="K918" s="203"/>
      <c r="L918" s="203"/>
      <c r="M918" s="203"/>
      <c r="N918" s="203"/>
      <c r="O918" s="203"/>
      <c r="P918" s="207" t="s">
        <v>855</v>
      </c>
      <c r="Q918" s="207" t="s">
        <v>645</v>
      </c>
    </row>
    <row r="919" spans="1:17" ht="30" customHeight="1" x14ac:dyDescent="0.35">
      <c r="A919" s="208" t="s">
        <v>880</v>
      </c>
      <c r="B919" s="134"/>
      <c r="C919" s="134"/>
      <c r="D919" s="134"/>
      <c r="E919" s="134"/>
      <c r="F919" s="202"/>
      <c r="G919" s="203"/>
      <c r="H919" s="203"/>
      <c r="I919" s="203"/>
      <c r="J919" s="203"/>
      <c r="K919" s="203"/>
      <c r="L919" s="203"/>
      <c r="M919" s="203"/>
      <c r="N919" s="203"/>
      <c r="O919" s="203"/>
      <c r="P919" s="207" t="s">
        <v>855</v>
      </c>
      <c r="Q919" s="207" t="s">
        <v>645</v>
      </c>
    </row>
    <row r="920" spans="1:17" ht="30" customHeight="1" x14ac:dyDescent="0.35">
      <c r="A920" s="208" t="s">
        <v>881</v>
      </c>
      <c r="B920" s="134"/>
      <c r="C920" s="134"/>
      <c r="D920" s="134"/>
      <c r="E920" s="134"/>
      <c r="F920" s="202"/>
      <c r="G920" s="203"/>
      <c r="H920" s="203"/>
      <c r="I920" s="203"/>
      <c r="J920" s="203"/>
      <c r="K920" s="203"/>
      <c r="L920" s="203"/>
      <c r="M920" s="203"/>
      <c r="N920" s="203"/>
      <c r="O920" s="203"/>
      <c r="P920" s="207" t="s">
        <v>855</v>
      </c>
      <c r="Q920" s="207" t="s">
        <v>645</v>
      </c>
    </row>
    <row r="921" spans="1:17" ht="30" customHeight="1" x14ac:dyDescent="0.35">
      <c r="A921" s="208" t="s">
        <v>882</v>
      </c>
      <c r="B921" s="134"/>
      <c r="C921" s="134"/>
      <c r="D921" s="134"/>
      <c r="E921" s="134"/>
      <c r="F921" s="202"/>
      <c r="G921" s="203"/>
      <c r="H921" s="203"/>
      <c r="I921" s="203"/>
      <c r="J921" s="203"/>
      <c r="K921" s="203"/>
      <c r="L921" s="203"/>
      <c r="M921" s="203"/>
      <c r="N921" s="203"/>
      <c r="O921" s="203"/>
      <c r="P921" s="207" t="s">
        <v>855</v>
      </c>
      <c r="Q921" s="207" t="s">
        <v>645</v>
      </c>
    </row>
    <row r="922" spans="1:17" ht="30" customHeight="1" x14ac:dyDescent="0.35">
      <c r="A922" s="208" t="s">
        <v>883</v>
      </c>
      <c r="B922" s="134"/>
      <c r="C922" s="134"/>
      <c r="D922" s="134"/>
      <c r="E922" s="134"/>
      <c r="F922" s="202"/>
      <c r="G922" s="203"/>
      <c r="H922" s="203"/>
      <c r="I922" s="203"/>
      <c r="J922" s="203"/>
      <c r="K922" s="203"/>
      <c r="L922" s="203"/>
      <c r="M922" s="203"/>
      <c r="N922" s="203"/>
      <c r="O922" s="203"/>
      <c r="P922" s="207" t="s">
        <v>855</v>
      </c>
      <c r="Q922" s="207" t="s">
        <v>645</v>
      </c>
    </row>
    <row r="923" spans="1:17" ht="30" customHeight="1" x14ac:dyDescent="0.35">
      <c r="A923" s="208" t="s">
        <v>884</v>
      </c>
      <c r="B923" s="134"/>
      <c r="C923" s="134"/>
      <c r="D923" s="134"/>
      <c r="E923" s="134"/>
      <c r="F923" s="202"/>
      <c r="G923" s="203"/>
      <c r="H923" s="203"/>
      <c r="I923" s="203"/>
      <c r="J923" s="203"/>
      <c r="K923" s="203"/>
      <c r="L923" s="203"/>
      <c r="M923" s="203"/>
      <c r="N923" s="203"/>
      <c r="O923" s="203"/>
      <c r="P923" s="207" t="s">
        <v>857</v>
      </c>
      <c r="Q923" s="207" t="s">
        <v>645</v>
      </c>
    </row>
    <row r="924" spans="1:17" ht="30" customHeight="1" x14ac:dyDescent="0.35">
      <c r="A924" s="208" t="s">
        <v>885</v>
      </c>
      <c r="B924" s="134"/>
      <c r="C924" s="134"/>
      <c r="D924" s="134"/>
      <c r="E924" s="134"/>
      <c r="F924" s="202"/>
      <c r="G924" s="203"/>
      <c r="H924" s="203"/>
      <c r="I924" s="203"/>
      <c r="J924" s="203"/>
      <c r="K924" s="203"/>
      <c r="L924" s="203"/>
      <c r="M924" s="203"/>
      <c r="N924" s="203"/>
      <c r="O924" s="203"/>
      <c r="P924" s="207" t="s">
        <v>855</v>
      </c>
      <c r="Q924" s="207" t="s">
        <v>645</v>
      </c>
    </row>
    <row r="925" spans="1:17" ht="30" customHeight="1" x14ac:dyDescent="0.35">
      <c r="A925" s="208" t="s">
        <v>886</v>
      </c>
      <c r="B925" s="134"/>
      <c r="C925" s="134"/>
      <c r="D925" s="134"/>
      <c r="E925" s="134"/>
      <c r="F925" s="202"/>
      <c r="G925" s="203"/>
      <c r="H925" s="203"/>
      <c r="I925" s="203"/>
      <c r="J925" s="203"/>
      <c r="K925" s="203"/>
      <c r="L925" s="203"/>
      <c r="M925" s="203"/>
      <c r="N925" s="203"/>
      <c r="O925" s="203"/>
      <c r="P925" s="207" t="s">
        <v>855</v>
      </c>
      <c r="Q925" s="207" t="s">
        <v>645</v>
      </c>
    </row>
    <row r="926" spans="1:17" ht="30" customHeight="1" x14ac:dyDescent="0.35">
      <c r="A926" s="208" t="s">
        <v>887</v>
      </c>
      <c r="B926" s="134"/>
      <c r="C926" s="134"/>
      <c r="D926" s="134"/>
      <c r="E926" s="134"/>
      <c r="F926" s="202"/>
      <c r="G926" s="203"/>
      <c r="H926" s="203"/>
      <c r="I926" s="203"/>
      <c r="J926" s="203"/>
      <c r="K926" s="203"/>
      <c r="L926" s="203"/>
      <c r="M926" s="203"/>
      <c r="N926" s="203"/>
      <c r="O926" s="203"/>
      <c r="P926" s="207" t="s">
        <v>855</v>
      </c>
      <c r="Q926" s="207" t="s">
        <v>645</v>
      </c>
    </row>
    <row r="927" spans="1:17" ht="30" customHeight="1" x14ac:dyDescent="0.35">
      <c r="A927" s="208" t="s">
        <v>888</v>
      </c>
      <c r="B927" s="134"/>
      <c r="C927" s="134"/>
      <c r="D927" s="134"/>
      <c r="E927" s="134"/>
      <c r="F927" s="202"/>
      <c r="G927" s="203"/>
      <c r="H927" s="203"/>
      <c r="I927" s="203"/>
      <c r="J927" s="203"/>
      <c r="K927" s="203"/>
      <c r="L927" s="203"/>
      <c r="M927" s="203"/>
      <c r="N927" s="203"/>
      <c r="O927" s="203"/>
      <c r="P927" s="207" t="s">
        <v>855</v>
      </c>
      <c r="Q927" s="207" t="s">
        <v>645</v>
      </c>
    </row>
    <row r="928" spans="1:17" ht="30" customHeight="1" x14ac:dyDescent="0.35">
      <c r="A928" s="208" t="s">
        <v>889</v>
      </c>
      <c r="B928" s="134"/>
      <c r="C928" s="134"/>
      <c r="D928" s="134"/>
      <c r="E928" s="134"/>
      <c r="F928" s="202"/>
      <c r="G928" s="203"/>
      <c r="H928" s="203"/>
      <c r="I928" s="203"/>
      <c r="J928" s="203"/>
      <c r="K928" s="203"/>
      <c r="L928" s="203"/>
      <c r="M928" s="203"/>
      <c r="N928" s="203"/>
      <c r="O928" s="203"/>
      <c r="P928" s="207" t="s">
        <v>855</v>
      </c>
      <c r="Q928" s="207" t="s">
        <v>645</v>
      </c>
    </row>
    <row r="929" spans="1:17" ht="30" customHeight="1" x14ac:dyDescent="0.35">
      <c r="A929" s="208" t="s">
        <v>890</v>
      </c>
      <c r="B929" s="134"/>
      <c r="C929" s="134"/>
      <c r="D929" s="134"/>
      <c r="E929" s="134"/>
      <c r="F929" s="202"/>
      <c r="G929" s="203"/>
      <c r="H929" s="203"/>
      <c r="I929" s="203"/>
      <c r="J929" s="203"/>
      <c r="K929" s="203"/>
      <c r="L929" s="203"/>
      <c r="M929" s="203"/>
      <c r="N929" s="203"/>
      <c r="O929" s="203"/>
      <c r="P929" s="207" t="s">
        <v>857</v>
      </c>
      <c r="Q929" s="207" t="s">
        <v>645</v>
      </c>
    </row>
    <row r="930" spans="1:17" ht="30" customHeight="1" x14ac:dyDescent="0.35">
      <c r="A930" s="208" t="s">
        <v>891</v>
      </c>
      <c r="B930" s="134"/>
      <c r="C930" s="134"/>
      <c r="D930" s="134"/>
      <c r="E930" s="134"/>
      <c r="F930" s="202"/>
      <c r="G930" s="203"/>
      <c r="H930" s="203"/>
      <c r="I930" s="203"/>
      <c r="J930" s="203"/>
      <c r="K930" s="203"/>
      <c r="L930" s="203"/>
      <c r="M930" s="203"/>
      <c r="N930" s="203"/>
      <c r="O930" s="203"/>
      <c r="P930" s="207" t="s">
        <v>857</v>
      </c>
      <c r="Q930" s="207" t="s">
        <v>645</v>
      </c>
    </row>
    <row r="931" spans="1:17" ht="30" customHeight="1" x14ac:dyDescent="0.35">
      <c r="A931" s="208" t="s">
        <v>892</v>
      </c>
      <c r="B931" s="134"/>
      <c r="C931" s="134"/>
      <c r="D931" s="134"/>
      <c r="E931" s="134"/>
      <c r="F931" s="202"/>
      <c r="G931" s="203"/>
      <c r="H931" s="203"/>
      <c r="I931" s="203"/>
      <c r="J931" s="203"/>
      <c r="K931" s="203"/>
      <c r="L931" s="203"/>
      <c r="M931" s="203"/>
      <c r="N931" s="203"/>
      <c r="O931" s="203"/>
      <c r="P931" s="207" t="s">
        <v>855</v>
      </c>
      <c r="Q931" s="207" t="s">
        <v>645</v>
      </c>
    </row>
    <row r="932" spans="1:17" ht="30" customHeight="1" x14ac:dyDescent="0.35">
      <c r="A932" s="208" t="s">
        <v>893</v>
      </c>
      <c r="B932" s="139"/>
      <c r="C932" s="139"/>
      <c r="D932" s="139"/>
      <c r="E932" s="139"/>
      <c r="F932" s="209"/>
      <c r="G932" s="140"/>
      <c r="H932" s="140"/>
      <c r="I932" s="140"/>
      <c r="J932" s="140"/>
      <c r="K932" s="140"/>
      <c r="L932" s="140"/>
      <c r="M932" s="140"/>
      <c r="N932" s="140"/>
      <c r="O932" s="140"/>
      <c r="P932" s="207" t="s">
        <v>855</v>
      </c>
      <c r="Q932" s="207" t="s">
        <v>645</v>
      </c>
    </row>
    <row r="933" spans="1:17" ht="30" customHeight="1" x14ac:dyDescent="0.35">
      <c r="A933" s="208" t="s">
        <v>894</v>
      </c>
      <c r="B933" s="134"/>
      <c r="C933" s="134"/>
      <c r="D933" s="134"/>
      <c r="E933" s="134"/>
      <c r="F933" s="202"/>
      <c r="G933" s="203"/>
      <c r="H933" s="203"/>
      <c r="I933" s="203"/>
      <c r="J933" s="203"/>
      <c r="K933" s="203"/>
      <c r="L933" s="203"/>
      <c r="M933" s="203"/>
      <c r="N933" s="203"/>
      <c r="O933" s="203"/>
      <c r="P933" s="207" t="s">
        <v>857</v>
      </c>
      <c r="Q933" s="207" t="s">
        <v>645</v>
      </c>
    </row>
    <row r="934" spans="1:17" ht="30" customHeight="1" x14ac:dyDescent="0.35">
      <c r="A934" s="208" t="s">
        <v>895</v>
      </c>
      <c r="B934" s="134"/>
      <c r="C934" s="134"/>
      <c r="D934" s="134"/>
      <c r="E934" s="134"/>
      <c r="F934" s="202"/>
      <c r="G934" s="203"/>
      <c r="H934" s="203"/>
      <c r="I934" s="203"/>
      <c r="J934" s="203"/>
      <c r="K934" s="203"/>
      <c r="L934" s="203"/>
      <c r="M934" s="203"/>
      <c r="N934" s="203"/>
      <c r="O934" s="203"/>
      <c r="P934" s="207" t="s">
        <v>857</v>
      </c>
      <c r="Q934" s="207" t="s">
        <v>645</v>
      </c>
    </row>
    <row r="935" spans="1:17" ht="30" customHeight="1" x14ac:dyDescent="0.35">
      <c r="A935" s="208" t="s">
        <v>896</v>
      </c>
      <c r="B935" s="134"/>
      <c r="C935" s="134"/>
      <c r="D935" s="134"/>
      <c r="E935" s="134"/>
      <c r="F935" s="202"/>
      <c r="G935" s="203"/>
      <c r="H935" s="203"/>
      <c r="I935" s="203"/>
      <c r="J935" s="203"/>
      <c r="K935" s="203"/>
      <c r="L935" s="203"/>
      <c r="M935" s="203"/>
      <c r="N935" s="203"/>
      <c r="O935" s="203"/>
      <c r="P935" s="207" t="s">
        <v>857</v>
      </c>
      <c r="Q935" s="207" t="s">
        <v>645</v>
      </c>
    </row>
    <row r="936" spans="1:17" ht="30" customHeight="1" x14ac:dyDescent="0.35">
      <c r="A936" s="208" t="s">
        <v>897</v>
      </c>
      <c r="B936" s="134"/>
      <c r="C936" s="134"/>
      <c r="D936" s="134"/>
      <c r="E936" s="134"/>
      <c r="F936" s="202"/>
      <c r="G936" s="203"/>
      <c r="H936" s="203"/>
      <c r="I936" s="203"/>
      <c r="J936" s="203"/>
      <c r="K936" s="203"/>
      <c r="L936" s="203"/>
      <c r="M936" s="203"/>
      <c r="N936" s="203"/>
      <c r="O936" s="203"/>
      <c r="P936" s="207" t="s">
        <v>857</v>
      </c>
      <c r="Q936" s="207" t="s">
        <v>645</v>
      </c>
    </row>
    <row r="937" spans="1:17" ht="30" customHeight="1" x14ac:dyDescent="0.35">
      <c r="A937" s="208" t="s">
        <v>898</v>
      </c>
      <c r="B937" s="134"/>
      <c r="C937" s="134"/>
      <c r="D937" s="134"/>
      <c r="E937" s="134"/>
      <c r="F937" s="202"/>
      <c r="G937" s="203"/>
      <c r="H937" s="203"/>
      <c r="I937" s="203"/>
      <c r="J937" s="203"/>
      <c r="K937" s="203"/>
      <c r="L937" s="203"/>
      <c r="M937" s="203"/>
      <c r="N937" s="203"/>
      <c r="O937" s="203"/>
      <c r="P937" s="207" t="s">
        <v>857</v>
      </c>
      <c r="Q937" s="207" t="s">
        <v>645</v>
      </c>
    </row>
    <row r="938" spans="1:17" ht="30" customHeight="1" x14ac:dyDescent="0.35">
      <c r="A938" s="208" t="s">
        <v>899</v>
      </c>
      <c r="B938" s="134"/>
      <c r="C938" s="134"/>
      <c r="D938" s="134"/>
      <c r="E938" s="134"/>
      <c r="F938" s="202"/>
      <c r="G938" s="203"/>
      <c r="H938" s="203"/>
      <c r="I938" s="203"/>
      <c r="J938" s="203"/>
      <c r="K938" s="203"/>
      <c r="L938" s="203"/>
      <c r="M938" s="203"/>
      <c r="N938" s="203"/>
      <c r="O938" s="203"/>
      <c r="P938" s="207" t="s">
        <v>857</v>
      </c>
      <c r="Q938" s="207" t="s">
        <v>645</v>
      </c>
    </row>
    <row r="939" spans="1:17" ht="29.15" customHeight="1" x14ac:dyDescent="0.35">
      <c r="A939" s="208" t="s">
        <v>900</v>
      </c>
      <c r="B939" s="139"/>
      <c r="C939" s="139"/>
      <c r="D939" s="139"/>
      <c r="E939" s="139"/>
      <c r="F939" s="209"/>
      <c r="G939" s="140"/>
      <c r="H939" s="140"/>
      <c r="I939" s="140"/>
      <c r="J939" s="140"/>
      <c r="K939" s="140"/>
      <c r="L939" s="140"/>
      <c r="M939" s="140"/>
      <c r="N939" s="140"/>
      <c r="O939" s="140"/>
      <c r="P939" s="207" t="s">
        <v>855</v>
      </c>
      <c r="Q939" s="207" t="s">
        <v>645</v>
      </c>
    </row>
    <row r="940" spans="1:17" ht="29.15" customHeight="1" x14ac:dyDescent="0.35">
      <c r="A940" s="208" t="s">
        <v>901</v>
      </c>
      <c r="B940" s="139"/>
      <c r="C940" s="139"/>
      <c r="D940" s="139"/>
      <c r="E940" s="139"/>
      <c r="F940" s="209"/>
      <c r="G940" s="140"/>
      <c r="H940" s="140"/>
      <c r="I940" s="140"/>
      <c r="J940" s="140"/>
      <c r="K940" s="140"/>
      <c r="L940" s="140"/>
      <c r="M940" s="140"/>
      <c r="N940" s="140"/>
      <c r="O940" s="140"/>
      <c r="P940" s="207" t="s">
        <v>857</v>
      </c>
      <c r="Q940" s="207" t="s">
        <v>645</v>
      </c>
    </row>
    <row r="941" spans="1:17" ht="29.15" customHeight="1" x14ac:dyDescent="0.35">
      <c r="A941" s="208" t="s">
        <v>902</v>
      </c>
      <c r="B941" s="139"/>
      <c r="C941" s="139"/>
      <c r="D941" s="139"/>
      <c r="E941" s="139"/>
      <c r="F941" s="209"/>
      <c r="G941" s="140"/>
      <c r="H941" s="140"/>
      <c r="I941" s="140"/>
      <c r="J941" s="140"/>
      <c r="K941" s="140"/>
      <c r="L941" s="140"/>
      <c r="M941" s="140"/>
      <c r="N941" s="140"/>
      <c r="O941" s="140"/>
      <c r="P941" s="207" t="s">
        <v>857</v>
      </c>
      <c r="Q941" s="207" t="s">
        <v>645</v>
      </c>
    </row>
    <row r="942" spans="1:17" ht="29.15" customHeight="1" x14ac:dyDescent="0.35">
      <c r="A942" s="208" t="s">
        <v>903</v>
      </c>
      <c r="B942" s="139"/>
      <c r="C942" s="139"/>
      <c r="D942" s="139"/>
      <c r="E942" s="139"/>
      <c r="F942" s="209"/>
      <c r="G942" s="140"/>
      <c r="H942" s="140"/>
      <c r="I942" s="140"/>
      <c r="J942" s="140"/>
      <c r="K942" s="140"/>
      <c r="L942" s="140"/>
      <c r="M942" s="140"/>
      <c r="N942" s="140"/>
      <c r="O942" s="140"/>
      <c r="P942" s="207" t="s">
        <v>857</v>
      </c>
      <c r="Q942" s="207" t="s">
        <v>645</v>
      </c>
    </row>
    <row r="943" spans="1:17" ht="30" customHeight="1" x14ac:dyDescent="0.35">
      <c r="A943" s="208" t="s">
        <v>904</v>
      </c>
      <c r="B943" s="139"/>
      <c r="C943" s="139"/>
      <c r="D943" s="139"/>
      <c r="E943" s="139"/>
      <c r="F943" s="209"/>
      <c r="G943" s="140"/>
      <c r="H943" s="140"/>
      <c r="I943" s="140"/>
      <c r="J943" s="140"/>
      <c r="K943" s="140"/>
      <c r="L943" s="140"/>
      <c r="M943" s="140"/>
      <c r="N943" s="140"/>
      <c r="O943" s="140"/>
      <c r="P943" s="207" t="s">
        <v>855</v>
      </c>
      <c r="Q943" s="207" t="s">
        <v>645</v>
      </c>
    </row>
    <row r="944" spans="1:17" ht="30" customHeight="1" x14ac:dyDescent="0.35">
      <c r="A944" s="208" t="s">
        <v>905</v>
      </c>
      <c r="B944" s="139"/>
      <c r="C944" s="139"/>
      <c r="D944" s="139"/>
      <c r="E944" s="139"/>
      <c r="F944" s="209"/>
      <c r="G944" s="140"/>
      <c r="H944" s="140"/>
      <c r="I944" s="140"/>
      <c r="J944" s="140"/>
      <c r="K944" s="140"/>
      <c r="L944" s="140"/>
      <c r="M944" s="140"/>
      <c r="N944" s="140"/>
      <c r="O944" s="140"/>
      <c r="P944" s="207" t="s">
        <v>855</v>
      </c>
      <c r="Q944" s="207" t="s">
        <v>645</v>
      </c>
    </row>
    <row r="945" spans="1:17" ht="30" customHeight="1" x14ac:dyDescent="0.35">
      <c r="A945" s="208" t="s">
        <v>906</v>
      </c>
      <c r="B945" s="139"/>
      <c r="C945" s="139"/>
      <c r="D945" s="139"/>
      <c r="E945" s="139"/>
      <c r="F945" s="209"/>
      <c r="G945" s="140"/>
      <c r="H945" s="140"/>
      <c r="I945" s="140"/>
      <c r="J945" s="140"/>
      <c r="K945" s="140"/>
      <c r="L945" s="140"/>
      <c r="M945" s="140"/>
      <c r="N945" s="140"/>
      <c r="O945" s="140"/>
      <c r="P945" s="207" t="s">
        <v>857</v>
      </c>
      <c r="Q945" s="207" t="s">
        <v>645</v>
      </c>
    </row>
    <row r="946" spans="1:17" ht="30" customHeight="1" x14ac:dyDescent="0.35">
      <c r="A946" s="208" t="s">
        <v>907</v>
      </c>
      <c r="B946" s="139"/>
      <c r="C946" s="139"/>
      <c r="D946" s="139"/>
      <c r="E946" s="139"/>
      <c r="F946" s="209"/>
      <c r="G946" s="140"/>
      <c r="H946" s="140"/>
      <c r="I946" s="140"/>
      <c r="J946" s="140"/>
      <c r="K946" s="140"/>
      <c r="L946" s="140"/>
      <c r="M946" s="140"/>
      <c r="N946" s="140"/>
      <c r="O946" s="140"/>
      <c r="P946" s="207" t="s">
        <v>857</v>
      </c>
      <c r="Q946" s="207" t="s">
        <v>645</v>
      </c>
    </row>
    <row r="947" spans="1:17" ht="30" customHeight="1" x14ac:dyDescent="0.35">
      <c r="A947" s="208" t="s">
        <v>908</v>
      </c>
      <c r="B947" s="139"/>
      <c r="C947" s="139"/>
      <c r="D947" s="139"/>
      <c r="E947" s="139"/>
      <c r="F947" s="209"/>
      <c r="G947" s="140"/>
      <c r="H947" s="140"/>
      <c r="I947" s="140"/>
      <c r="J947" s="140"/>
      <c r="K947" s="140"/>
      <c r="L947" s="140"/>
      <c r="M947" s="140"/>
      <c r="N947" s="140"/>
      <c r="O947" s="140"/>
      <c r="P947" s="207" t="s">
        <v>855</v>
      </c>
      <c r="Q947" s="207" t="s">
        <v>645</v>
      </c>
    </row>
    <row r="948" spans="1:17" ht="30" customHeight="1" x14ac:dyDescent="0.35">
      <c r="A948" s="208" t="s">
        <v>909</v>
      </c>
      <c r="B948" s="139"/>
      <c r="C948" s="139"/>
      <c r="D948" s="139"/>
      <c r="E948" s="139"/>
      <c r="F948" s="209"/>
      <c r="G948" s="140"/>
      <c r="H948" s="140"/>
      <c r="I948" s="140"/>
      <c r="J948" s="140"/>
      <c r="K948" s="140"/>
      <c r="L948" s="140"/>
      <c r="M948" s="140"/>
      <c r="N948" s="140"/>
      <c r="O948" s="140"/>
      <c r="P948" s="207" t="s">
        <v>855</v>
      </c>
      <c r="Q948" s="207" t="s">
        <v>645</v>
      </c>
    </row>
    <row r="949" spans="1:17" ht="30" customHeight="1" x14ac:dyDescent="0.35">
      <c r="A949" s="208" t="s">
        <v>910</v>
      </c>
      <c r="B949" s="139"/>
      <c r="C949" s="139"/>
      <c r="D949" s="139"/>
      <c r="E949" s="139"/>
      <c r="F949" s="209"/>
      <c r="G949" s="140"/>
      <c r="H949" s="140"/>
      <c r="I949" s="140"/>
      <c r="J949" s="140"/>
      <c r="K949" s="140"/>
      <c r="L949" s="140"/>
      <c r="M949" s="140"/>
      <c r="N949" s="140"/>
      <c r="O949" s="140"/>
      <c r="P949" s="207" t="s">
        <v>857</v>
      </c>
      <c r="Q949" s="207" t="s">
        <v>645</v>
      </c>
    </row>
    <row r="950" spans="1:17" ht="30" customHeight="1" x14ac:dyDescent="0.35">
      <c r="A950" s="208" t="s">
        <v>911</v>
      </c>
      <c r="B950" s="134"/>
      <c r="C950" s="134"/>
      <c r="D950" s="134"/>
      <c r="E950" s="134"/>
      <c r="F950" s="202"/>
      <c r="G950" s="203"/>
      <c r="H950" s="203"/>
      <c r="I950" s="203"/>
      <c r="J950" s="203"/>
      <c r="K950" s="203"/>
      <c r="L950" s="203"/>
      <c r="M950" s="203"/>
      <c r="N950" s="203"/>
      <c r="O950" s="203"/>
      <c r="P950" s="207" t="s">
        <v>857</v>
      </c>
      <c r="Q950" s="207" t="s">
        <v>645</v>
      </c>
    </row>
    <row r="951" spans="1:17" ht="30" customHeight="1" x14ac:dyDescent="0.35">
      <c r="A951" s="208" t="s">
        <v>912</v>
      </c>
      <c r="B951" s="134"/>
      <c r="C951" s="134"/>
      <c r="D951" s="134"/>
      <c r="E951" s="134"/>
      <c r="F951" s="202"/>
      <c r="G951" s="203"/>
      <c r="H951" s="203"/>
      <c r="I951" s="203"/>
      <c r="J951" s="203"/>
      <c r="K951" s="203"/>
      <c r="L951" s="203"/>
      <c r="M951" s="203"/>
      <c r="N951" s="203"/>
      <c r="O951" s="203"/>
      <c r="P951" s="207" t="s">
        <v>857</v>
      </c>
      <c r="Q951" s="207" t="s">
        <v>645</v>
      </c>
    </row>
    <row r="952" spans="1:17" ht="30" customHeight="1" x14ac:dyDescent="0.35">
      <c r="A952" s="208" t="s">
        <v>913</v>
      </c>
      <c r="B952" s="134"/>
      <c r="C952" s="134"/>
      <c r="D952" s="134"/>
      <c r="E952" s="134"/>
      <c r="F952" s="202"/>
      <c r="G952" s="203"/>
      <c r="H952" s="203"/>
      <c r="I952" s="203"/>
      <c r="J952" s="203"/>
      <c r="K952" s="203"/>
      <c r="L952" s="203"/>
      <c r="M952" s="203"/>
      <c r="N952" s="203"/>
      <c r="O952" s="203"/>
      <c r="P952" s="207" t="s">
        <v>855</v>
      </c>
      <c r="Q952" s="207" t="s">
        <v>645</v>
      </c>
    </row>
    <row r="953" spans="1:17" ht="30" customHeight="1" x14ac:dyDescent="0.35">
      <c r="A953" s="208" t="s">
        <v>914</v>
      </c>
      <c r="B953" s="134"/>
      <c r="C953" s="134"/>
      <c r="D953" s="134"/>
      <c r="E953" s="134"/>
      <c r="F953" s="202"/>
      <c r="G953" s="203"/>
      <c r="H953" s="203"/>
      <c r="I953" s="203"/>
      <c r="J953" s="203"/>
      <c r="K953" s="203"/>
      <c r="L953" s="203"/>
      <c r="M953" s="203"/>
      <c r="N953" s="203"/>
      <c r="O953" s="203"/>
      <c r="P953" s="207" t="s">
        <v>855</v>
      </c>
      <c r="Q953" s="207" t="s">
        <v>645</v>
      </c>
    </row>
    <row r="954" spans="1:17" ht="30" customHeight="1" x14ac:dyDescent="0.35">
      <c r="A954" s="208" t="s">
        <v>915</v>
      </c>
      <c r="B954" s="134"/>
      <c r="C954" s="134"/>
      <c r="D954" s="134"/>
      <c r="E954" s="134"/>
      <c r="F954" s="202"/>
      <c r="G954" s="203"/>
      <c r="H954" s="203"/>
      <c r="I954" s="203"/>
      <c r="J954" s="203"/>
      <c r="K954" s="203"/>
      <c r="L954" s="203"/>
      <c r="M954" s="203"/>
      <c r="N954" s="203"/>
      <c r="O954" s="203"/>
      <c r="P954" s="207" t="s">
        <v>855</v>
      </c>
      <c r="Q954" s="207" t="s">
        <v>645</v>
      </c>
    </row>
    <row r="955" spans="1:17" ht="30" customHeight="1" x14ac:dyDescent="0.35">
      <c r="A955" s="208" t="s">
        <v>916</v>
      </c>
      <c r="B955" s="139"/>
      <c r="C955" s="139"/>
      <c r="D955" s="139"/>
      <c r="E955" s="139"/>
      <c r="F955" s="209"/>
      <c r="G955" s="140"/>
      <c r="H955" s="140"/>
      <c r="I955" s="140"/>
      <c r="J955" s="140"/>
      <c r="K955" s="140"/>
      <c r="L955" s="140"/>
      <c r="M955" s="140"/>
      <c r="N955" s="140"/>
      <c r="O955" s="140"/>
      <c r="P955" s="207" t="s">
        <v>857</v>
      </c>
      <c r="Q955" s="207" t="s">
        <v>645</v>
      </c>
    </row>
    <row r="956" spans="1:17" ht="30" customHeight="1" x14ac:dyDescent="0.35">
      <c r="A956" s="208" t="s">
        <v>917</v>
      </c>
      <c r="B956" s="139"/>
      <c r="C956" s="139"/>
      <c r="D956" s="139"/>
      <c r="E956" s="139"/>
      <c r="F956" s="209"/>
      <c r="G956" s="140"/>
      <c r="H956" s="140"/>
      <c r="I956" s="140"/>
      <c r="J956" s="140"/>
      <c r="K956" s="140"/>
      <c r="L956" s="140"/>
      <c r="M956" s="140"/>
      <c r="N956" s="140"/>
      <c r="O956" s="140"/>
      <c r="P956" s="207" t="s">
        <v>857</v>
      </c>
      <c r="Q956" s="207" t="s">
        <v>645</v>
      </c>
    </row>
    <row r="957" spans="1:17" ht="30" customHeight="1" x14ac:dyDescent="0.35">
      <c r="A957" s="208" t="s">
        <v>918</v>
      </c>
      <c r="B957" s="139"/>
      <c r="C957" s="139"/>
      <c r="D957" s="139"/>
      <c r="E957" s="139"/>
      <c r="F957" s="209"/>
      <c r="G957" s="140"/>
      <c r="H957" s="140"/>
      <c r="I957" s="140"/>
      <c r="J957" s="140"/>
      <c r="K957" s="140"/>
      <c r="L957" s="140"/>
      <c r="M957" s="140"/>
      <c r="N957" s="140"/>
      <c r="O957" s="140"/>
      <c r="P957" s="207" t="s">
        <v>857</v>
      </c>
      <c r="Q957" s="207" t="s">
        <v>645</v>
      </c>
    </row>
    <row r="958" spans="1:17" ht="30" customHeight="1" x14ac:dyDescent="0.35">
      <c r="A958" s="208" t="s">
        <v>919</v>
      </c>
      <c r="B958" s="139"/>
      <c r="C958" s="139"/>
      <c r="D958" s="139"/>
      <c r="E958" s="139"/>
      <c r="F958" s="209"/>
      <c r="G958" s="140"/>
      <c r="H958" s="140"/>
      <c r="I958" s="140"/>
      <c r="J958" s="140"/>
      <c r="K958" s="140"/>
      <c r="L958" s="140"/>
      <c r="M958" s="140"/>
      <c r="N958" s="140"/>
      <c r="O958" s="140"/>
      <c r="P958" s="207" t="s">
        <v>855</v>
      </c>
      <c r="Q958" s="207" t="s">
        <v>645</v>
      </c>
    </row>
    <row r="959" spans="1:17" ht="30" customHeight="1" x14ac:dyDescent="0.35">
      <c r="A959" s="208" t="s">
        <v>920</v>
      </c>
      <c r="B959" s="134"/>
      <c r="C959" s="134"/>
      <c r="D959" s="134"/>
      <c r="E959" s="134"/>
      <c r="F959" s="202"/>
      <c r="G959" s="203"/>
      <c r="H959" s="203"/>
      <c r="I959" s="203"/>
      <c r="J959" s="203"/>
      <c r="K959" s="203"/>
      <c r="L959" s="203"/>
      <c r="M959" s="203"/>
      <c r="N959" s="203"/>
      <c r="O959" s="203"/>
      <c r="P959" s="207" t="s">
        <v>855</v>
      </c>
      <c r="Q959" s="207" t="s">
        <v>645</v>
      </c>
    </row>
    <row r="960" spans="1:17" ht="30" customHeight="1" x14ac:dyDescent="0.35">
      <c r="A960" s="208" t="s">
        <v>921</v>
      </c>
      <c r="B960" s="134"/>
      <c r="C960" s="134"/>
      <c r="D960" s="134"/>
      <c r="E960" s="134"/>
      <c r="F960" s="202"/>
      <c r="G960" s="203"/>
      <c r="H960" s="203"/>
      <c r="I960" s="203"/>
      <c r="J960" s="203"/>
      <c r="K960" s="203"/>
      <c r="L960" s="203"/>
      <c r="M960" s="203"/>
      <c r="N960" s="203"/>
      <c r="O960" s="203"/>
      <c r="P960" s="207" t="s">
        <v>855</v>
      </c>
      <c r="Q960" s="207" t="s">
        <v>645</v>
      </c>
    </row>
    <row r="961" spans="1:17" ht="30" customHeight="1" x14ac:dyDescent="0.35">
      <c r="A961" s="208" t="s">
        <v>922</v>
      </c>
      <c r="B961" s="134"/>
      <c r="C961" s="134"/>
      <c r="D961" s="134"/>
      <c r="E961" s="134"/>
      <c r="F961" s="202"/>
      <c r="G961" s="203"/>
      <c r="H961" s="203"/>
      <c r="I961" s="203"/>
      <c r="J961" s="203"/>
      <c r="K961" s="203"/>
      <c r="L961" s="203"/>
      <c r="M961" s="203"/>
      <c r="N961" s="203"/>
      <c r="O961" s="203"/>
      <c r="P961" s="207" t="s">
        <v>855</v>
      </c>
      <c r="Q961" s="207" t="s">
        <v>645</v>
      </c>
    </row>
    <row r="962" spans="1:17" ht="30" customHeight="1" x14ac:dyDescent="0.35">
      <c r="A962" s="208" t="s">
        <v>923</v>
      </c>
      <c r="B962" s="134"/>
      <c r="C962" s="134"/>
      <c r="D962" s="134"/>
      <c r="E962" s="134"/>
      <c r="F962" s="202"/>
      <c r="G962" s="203"/>
      <c r="H962" s="203"/>
      <c r="I962" s="203"/>
      <c r="J962" s="203"/>
      <c r="K962" s="203"/>
      <c r="L962" s="203"/>
      <c r="M962" s="203"/>
      <c r="N962" s="203"/>
      <c r="O962" s="203"/>
      <c r="P962" s="207" t="s">
        <v>855</v>
      </c>
      <c r="Q962" s="207" t="s">
        <v>645</v>
      </c>
    </row>
    <row r="963" spans="1:17" ht="30" customHeight="1" x14ac:dyDescent="0.35">
      <c r="A963" s="208" t="s">
        <v>924</v>
      </c>
      <c r="B963" s="134"/>
      <c r="C963" s="134"/>
      <c r="D963" s="134"/>
      <c r="E963" s="134"/>
      <c r="F963" s="202"/>
      <c r="G963" s="203"/>
      <c r="H963" s="203"/>
      <c r="I963" s="203"/>
      <c r="J963" s="203"/>
      <c r="K963" s="203"/>
      <c r="L963" s="203"/>
      <c r="M963" s="203"/>
      <c r="N963" s="203"/>
      <c r="O963" s="203"/>
      <c r="P963" s="207" t="s">
        <v>857</v>
      </c>
      <c r="Q963" s="207" t="s">
        <v>645</v>
      </c>
    </row>
    <row r="964" spans="1:17" ht="30" customHeight="1" x14ac:dyDescent="0.35">
      <c r="A964" s="208" t="s">
        <v>925</v>
      </c>
      <c r="B964" s="134"/>
      <c r="C964" s="134"/>
      <c r="D964" s="134"/>
      <c r="E964" s="134"/>
      <c r="F964" s="202"/>
      <c r="G964" s="203"/>
      <c r="H964" s="203"/>
      <c r="I964" s="203"/>
      <c r="J964" s="203"/>
      <c r="K964" s="203"/>
      <c r="L964" s="203"/>
      <c r="M964" s="203"/>
      <c r="N964" s="203"/>
      <c r="O964" s="203"/>
      <c r="P964" s="207" t="s">
        <v>857</v>
      </c>
      <c r="Q964" s="207" t="s">
        <v>645</v>
      </c>
    </row>
    <row r="965" spans="1:17" ht="30" customHeight="1" x14ac:dyDescent="0.35">
      <c r="A965" s="208" t="s">
        <v>926</v>
      </c>
      <c r="B965" s="134"/>
      <c r="C965" s="134"/>
      <c r="D965" s="134"/>
      <c r="E965" s="134"/>
      <c r="F965" s="202"/>
      <c r="G965" s="203"/>
      <c r="H965" s="203"/>
      <c r="I965" s="203"/>
      <c r="J965" s="203"/>
      <c r="K965" s="203"/>
      <c r="L965" s="203"/>
      <c r="M965" s="203"/>
      <c r="N965" s="203"/>
      <c r="O965" s="203"/>
      <c r="P965" s="207" t="s">
        <v>927</v>
      </c>
      <c r="Q965" s="207" t="s">
        <v>645</v>
      </c>
    </row>
    <row r="966" spans="1:17" ht="30" customHeight="1" x14ac:dyDescent="0.35">
      <c r="A966" s="139" t="s">
        <v>928</v>
      </c>
      <c r="B966" s="134"/>
      <c r="C966" s="134"/>
      <c r="D966" s="134"/>
      <c r="E966" s="134"/>
      <c r="F966" s="202"/>
      <c r="G966" s="203"/>
      <c r="H966" s="203"/>
      <c r="I966" s="203"/>
      <c r="J966" s="203"/>
      <c r="K966" s="203"/>
      <c r="L966" s="203"/>
      <c r="M966" s="203"/>
      <c r="N966" s="203"/>
      <c r="O966" s="203"/>
      <c r="P966" s="207" t="s">
        <v>929</v>
      </c>
      <c r="Q966" s="207" t="s">
        <v>645</v>
      </c>
    </row>
    <row r="967" spans="1:17" s="206" customFormat="1" ht="30" customHeight="1" x14ac:dyDescent="0.35">
      <c r="A967" s="210" t="s">
        <v>1054</v>
      </c>
      <c r="B967" s="44"/>
      <c r="C967" s="44"/>
      <c r="D967" s="44"/>
      <c r="E967" s="44"/>
      <c r="F967" s="211"/>
      <c r="G967" s="111"/>
      <c r="H967" s="111"/>
      <c r="I967" s="111"/>
      <c r="J967" s="111"/>
      <c r="K967" s="111"/>
      <c r="L967" s="111"/>
      <c r="M967" s="111"/>
      <c r="N967" s="111"/>
      <c r="O967" s="111"/>
      <c r="P967" s="212" t="s">
        <v>857</v>
      </c>
      <c r="Q967" s="212" t="s">
        <v>645</v>
      </c>
    </row>
    <row r="968" spans="1:17" s="134" customFormat="1" ht="30" customHeight="1" x14ac:dyDescent="0.35">
      <c r="A968" s="208" t="s">
        <v>930</v>
      </c>
      <c r="B968" s="139"/>
      <c r="C968" s="139"/>
      <c r="D968" s="139"/>
      <c r="E968" s="139"/>
      <c r="F968" s="209"/>
      <c r="G968" s="140"/>
      <c r="H968" s="140"/>
      <c r="I968" s="140"/>
      <c r="J968" s="140"/>
      <c r="K968" s="140"/>
      <c r="L968" s="140"/>
      <c r="M968" s="140"/>
      <c r="N968" s="140"/>
      <c r="O968" s="140"/>
      <c r="P968" s="207" t="s">
        <v>855</v>
      </c>
      <c r="Q968" s="207" t="s">
        <v>645</v>
      </c>
    </row>
    <row r="969" spans="1:17" ht="30" customHeight="1" x14ac:dyDescent="0.35">
      <c r="A969" s="208" t="s">
        <v>931</v>
      </c>
      <c r="B969" s="134"/>
      <c r="C969" s="134"/>
      <c r="D969" s="134"/>
      <c r="E969" s="134"/>
      <c r="F969" s="202"/>
      <c r="G969" s="203"/>
      <c r="H969" s="203"/>
      <c r="I969" s="203"/>
      <c r="J969" s="203"/>
      <c r="K969" s="203"/>
      <c r="L969" s="203"/>
      <c r="M969" s="203"/>
      <c r="N969" s="203"/>
      <c r="O969" s="203"/>
      <c r="P969" s="207" t="s">
        <v>855</v>
      </c>
      <c r="Q969" s="207" t="s">
        <v>645</v>
      </c>
    </row>
    <row r="970" spans="1:17" ht="30" customHeight="1" x14ac:dyDescent="0.35">
      <c r="A970" s="208" t="s">
        <v>932</v>
      </c>
      <c r="B970" s="134"/>
      <c r="C970" s="134"/>
      <c r="D970" s="134"/>
      <c r="E970" s="134"/>
      <c r="F970" s="202"/>
      <c r="G970" s="203"/>
      <c r="H970" s="203"/>
      <c r="I970" s="203"/>
      <c r="J970" s="203"/>
      <c r="K970" s="203"/>
      <c r="L970" s="203"/>
      <c r="M970" s="203"/>
      <c r="N970" s="203"/>
      <c r="O970" s="203"/>
      <c r="P970" s="207" t="s">
        <v>855</v>
      </c>
      <c r="Q970" s="207" t="s">
        <v>645</v>
      </c>
    </row>
    <row r="971" spans="1:17" ht="30" customHeight="1" x14ac:dyDescent="0.35">
      <c r="A971" s="208" t="s">
        <v>933</v>
      </c>
      <c r="B971" s="134"/>
      <c r="C971" s="134"/>
      <c r="D971" s="134"/>
      <c r="E971" s="134"/>
      <c r="F971" s="202"/>
      <c r="G971" s="203"/>
      <c r="H971" s="203"/>
      <c r="I971" s="203"/>
      <c r="J971" s="203"/>
      <c r="K971" s="203"/>
      <c r="L971" s="203"/>
      <c r="M971" s="203"/>
      <c r="N971" s="203"/>
      <c r="O971" s="203"/>
      <c r="P971" s="207" t="s">
        <v>855</v>
      </c>
      <c r="Q971" s="207" t="s">
        <v>645</v>
      </c>
    </row>
    <row r="972" spans="1:17" s="205" customFormat="1" ht="30" customHeight="1" x14ac:dyDescent="0.35">
      <c r="A972" s="208" t="s">
        <v>934</v>
      </c>
      <c r="B972" s="139"/>
      <c r="C972" s="139"/>
      <c r="D972" s="139"/>
      <c r="E972" s="139"/>
      <c r="F972" s="209"/>
      <c r="G972" s="140"/>
      <c r="H972" s="140"/>
      <c r="I972" s="140"/>
      <c r="J972" s="140"/>
      <c r="K972" s="140"/>
      <c r="L972" s="140"/>
      <c r="M972" s="140"/>
      <c r="N972" s="140"/>
      <c r="O972" s="140"/>
      <c r="P972" s="207" t="s">
        <v>857</v>
      </c>
      <c r="Q972" s="207" t="s">
        <v>645</v>
      </c>
    </row>
    <row r="973" spans="1:17" ht="30" customHeight="1" x14ac:dyDescent="0.35">
      <c r="A973" s="208" t="s">
        <v>935</v>
      </c>
      <c r="B973" s="139"/>
      <c r="C973" s="139"/>
      <c r="D973" s="139"/>
      <c r="E973" s="139"/>
      <c r="F973" s="209"/>
      <c r="G973" s="140"/>
      <c r="H973" s="140"/>
      <c r="I973" s="140"/>
      <c r="J973" s="140"/>
      <c r="K973" s="140"/>
      <c r="L973" s="140"/>
      <c r="M973" s="140"/>
      <c r="N973" s="140"/>
      <c r="O973" s="140"/>
      <c r="P973" s="207" t="s">
        <v>857</v>
      </c>
      <c r="Q973" s="207" t="s">
        <v>645</v>
      </c>
    </row>
    <row r="974" spans="1:17" ht="30" customHeight="1" x14ac:dyDescent="0.35">
      <c r="A974" s="208" t="s">
        <v>936</v>
      </c>
      <c r="B974" s="134"/>
      <c r="C974" s="134"/>
      <c r="D974" s="134"/>
      <c r="E974" s="134"/>
      <c r="F974" s="202"/>
      <c r="G974" s="203"/>
      <c r="H974" s="203"/>
      <c r="I974" s="203"/>
      <c r="J974" s="203"/>
      <c r="K974" s="203"/>
      <c r="L974" s="203"/>
      <c r="M974" s="203"/>
      <c r="N974" s="203"/>
      <c r="O974" s="203"/>
      <c r="P974" s="207" t="s">
        <v>855</v>
      </c>
      <c r="Q974" s="207" t="s">
        <v>645</v>
      </c>
    </row>
    <row r="975" spans="1:17" ht="30" customHeight="1" x14ac:dyDescent="0.35">
      <c r="A975" s="208" t="s">
        <v>937</v>
      </c>
      <c r="B975" s="134"/>
      <c r="C975" s="134"/>
      <c r="D975" s="134"/>
      <c r="E975" s="134"/>
      <c r="F975" s="202"/>
      <c r="G975" s="203"/>
      <c r="H975" s="203"/>
      <c r="I975" s="203"/>
      <c r="J975" s="203"/>
      <c r="K975" s="203"/>
      <c r="L975" s="203"/>
      <c r="M975" s="203"/>
      <c r="N975" s="203"/>
      <c r="O975" s="203"/>
      <c r="P975" s="207" t="s">
        <v>855</v>
      </c>
      <c r="Q975" s="207" t="s">
        <v>645</v>
      </c>
    </row>
    <row r="976" spans="1:17" ht="30" customHeight="1" x14ac:dyDescent="0.35">
      <c r="A976" s="208" t="s">
        <v>938</v>
      </c>
      <c r="B976" s="139"/>
      <c r="C976" s="139"/>
      <c r="D976" s="139"/>
      <c r="E976" s="139"/>
      <c r="F976" s="209"/>
      <c r="G976" s="140"/>
      <c r="H976" s="140"/>
      <c r="I976" s="140"/>
      <c r="J976" s="140"/>
      <c r="K976" s="140"/>
      <c r="L976" s="140"/>
      <c r="M976" s="140"/>
      <c r="N976" s="140"/>
      <c r="O976" s="140"/>
      <c r="P976" s="207" t="s">
        <v>855</v>
      </c>
      <c r="Q976" s="207" t="s">
        <v>645</v>
      </c>
    </row>
    <row r="977" spans="1:17" ht="30" customHeight="1" x14ac:dyDescent="0.35">
      <c r="A977" s="208" t="s">
        <v>939</v>
      </c>
      <c r="B977" s="139"/>
      <c r="C977" s="139"/>
      <c r="D977" s="139"/>
      <c r="E977" s="139"/>
      <c r="F977" s="209"/>
      <c r="G977" s="140"/>
      <c r="H977" s="140"/>
      <c r="I977" s="140"/>
      <c r="J977" s="140"/>
      <c r="K977" s="140"/>
      <c r="L977" s="140"/>
      <c r="M977" s="140"/>
      <c r="N977" s="140"/>
      <c r="O977" s="140"/>
      <c r="P977" s="207" t="s">
        <v>855</v>
      </c>
      <c r="Q977" s="207" t="s">
        <v>645</v>
      </c>
    </row>
    <row r="978" spans="1:17" ht="30" customHeight="1" x14ac:dyDescent="0.35">
      <c r="A978" s="139" t="s">
        <v>940</v>
      </c>
      <c r="B978" s="134"/>
      <c r="C978" s="134"/>
      <c r="D978" s="134"/>
      <c r="E978" s="134"/>
      <c r="F978" s="202"/>
      <c r="G978" s="203"/>
      <c r="H978" s="203"/>
      <c r="I978" s="203"/>
      <c r="J978" s="203"/>
      <c r="K978" s="203"/>
      <c r="L978" s="203"/>
      <c r="M978" s="203"/>
      <c r="N978" s="203"/>
      <c r="O978" s="203"/>
      <c r="P978" s="207" t="s">
        <v>929</v>
      </c>
      <c r="Q978" s="207" t="s">
        <v>645</v>
      </c>
    </row>
    <row r="979" spans="1:17" ht="30" customHeight="1" x14ac:dyDescent="0.35">
      <c r="A979" s="139" t="s">
        <v>941</v>
      </c>
      <c r="B979" s="134"/>
      <c r="C979" s="134"/>
      <c r="D979" s="134"/>
      <c r="E979" s="134"/>
      <c r="F979" s="202"/>
      <c r="G979" s="203"/>
      <c r="H979" s="203"/>
      <c r="I979" s="203"/>
      <c r="J979" s="203"/>
      <c r="K979" s="203"/>
      <c r="L979" s="203"/>
      <c r="M979" s="203"/>
      <c r="N979" s="203"/>
      <c r="O979" s="203"/>
      <c r="P979" s="207" t="s">
        <v>929</v>
      </c>
      <c r="Q979" s="207" t="s">
        <v>645</v>
      </c>
    </row>
    <row r="980" spans="1:17" ht="30" customHeight="1" x14ac:dyDescent="0.35">
      <c r="A980" s="208" t="s">
        <v>942</v>
      </c>
      <c r="B980" s="134"/>
      <c r="C980" s="134"/>
      <c r="D980" s="134"/>
      <c r="E980" s="134"/>
      <c r="F980" s="202"/>
      <c r="G980" s="203"/>
      <c r="H980" s="203"/>
      <c r="I980" s="203"/>
      <c r="J980" s="203"/>
      <c r="K980" s="203"/>
      <c r="L980" s="203"/>
      <c r="M980" s="203"/>
      <c r="N980" s="203"/>
      <c r="O980" s="203"/>
      <c r="P980" s="207" t="s">
        <v>857</v>
      </c>
      <c r="Q980" s="207" t="s">
        <v>645</v>
      </c>
    </row>
    <row r="981" spans="1:17" ht="30" customHeight="1" x14ac:dyDescent="0.35">
      <c r="A981" s="208" t="s">
        <v>943</v>
      </c>
      <c r="B981" s="134"/>
      <c r="C981" s="134"/>
      <c r="D981" s="134"/>
      <c r="E981" s="134"/>
      <c r="F981" s="202"/>
      <c r="G981" s="203"/>
      <c r="H981" s="203"/>
      <c r="I981" s="203"/>
      <c r="J981" s="203"/>
      <c r="K981" s="203"/>
      <c r="L981" s="203"/>
      <c r="M981" s="203"/>
      <c r="N981" s="203"/>
      <c r="O981" s="203"/>
      <c r="P981" s="207" t="s">
        <v>857</v>
      </c>
      <c r="Q981" s="207" t="s">
        <v>645</v>
      </c>
    </row>
    <row r="982" spans="1:17" ht="30" customHeight="1" x14ac:dyDescent="0.35">
      <c r="A982" s="208" t="s">
        <v>944</v>
      </c>
      <c r="B982" s="139"/>
      <c r="C982" s="139"/>
      <c r="D982" s="139"/>
      <c r="E982" s="139"/>
      <c r="F982" s="209"/>
      <c r="G982" s="140"/>
      <c r="H982" s="140"/>
      <c r="I982" s="140"/>
      <c r="J982" s="140"/>
      <c r="K982" s="140"/>
      <c r="L982" s="140"/>
      <c r="M982" s="140"/>
      <c r="N982" s="140"/>
      <c r="O982" s="140"/>
      <c r="P982" s="207" t="s">
        <v>857</v>
      </c>
      <c r="Q982" s="207" t="s">
        <v>645</v>
      </c>
    </row>
    <row r="983" spans="1:17" ht="30" customHeight="1" x14ac:dyDescent="0.35">
      <c r="A983" s="208" t="s">
        <v>945</v>
      </c>
      <c r="B983" s="139"/>
      <c r="C983" s="139"/>
      <c r="D983" s="139"/>
      <c r="E983" s="139"/>
      <c r="F983" s="209"/>
      <c r="G983" s="140"/>
      <c r="H983" s="140"/>
      <c r="I983" s="140"/>
      <c r="J983" s="140"/>
      <c r="K983" s="140"/>
      <c r="L983" s="140"/>
      <c r="M983" s="140"/>
      <c r="N983" s="140"/>
      <c r="O983" s="140"/>
      <c r="P983" s="207" t="s">
        <v>857</v>
      </c>
      <c r="Q983" s="207" t="s">
        <v>645</v>
      </c>
    </row>
    <row r="984" spans="1:17" ht="30" customHeight="1" x14ac:dyDescent="0.35">
      <c r="A984" s="208" t="s">
        <v>946</v>
      </c>
      <c r="B984" s="134"/>
      <c r="C984" s="134"/>
      <c r="D984" s="134"/>
      <c r="E984" s="134"/>
      <c r="F984" s="202"/>
      <c r="G984" s="203"/>
      <c r="H984" s="203"/>
      <c r="I984" s="203"/>
      <c r="J984" s="203"/>
      <c r="K984" s="203"/>
      <c r="L984" s="203"/>
      <c r="M984" s="203"/>
      <c r="N984" s="203"/>
      <c r="O984" s="203"/>
      <c r="P984" s="207" t="s">
        <v>857</v>
      </c>
      <c r="Q984" s="207" t="s">
        <v>645</v>
      </c>
    </row>
    <row r="985" spans="1:17" ht="30" customHeight="1" x14ac:dyDescent="0.35">
      <c r="A985" s="208" t="s">
        <v>947</v>
      </c>
      <c r="B985" s="134"/>
      <c r="C985" s="134"/>
      <c r="D985" s="134"/>
      <c r="E985" s="134"/>
      <c r="F985" s="202"/>
      <c r="G985" s="203"/>
      <c r="H985" s="203"/>
      <c r="I985" s="203"/>
      <c r="J985" s="203"/>
      <c r="K985" s="203"/>
      <c r="L985" s="203"/>
      <c r="M985" s="203"/>
      <c r="N985" s="203"/>
      <c r="O985" s="203"/>
      <c r="P985" s="207" t="s">
        <v>857</v>
      </c>
      <c r="Q985" s="207" t="s">
        <v>645</v>
      </c>
    </row>
    <row r="986" spans="1:17" ht="30" customHeight="1" x14ac:dyDescent="0.35">
      <c r="A986" s="208" t="s">
        <v>948</v>
      </c>
      <c r="B986" s="134"/>
      <c r="C986" s="134"/>
      <c r="D986" s="134"/>
      <c r="E986" s="134"/>
      <c r="F986" s="202"/>
      <c r="G986" s="203"/>
      <c r="H986" s="203"/>
      <c r="I986" s="203"/>
      <c r="J986" s="203"/>
      <c r="K986" s="203"/>
      <c r="L986" s="203"/>
      <c r="M986" s="203"/>
      <c r="N986" s="203"/>
      <c r="O986" s="203"/>
      <c r="P986" s="207" t="s">
        <v>857</v>
      </c>
      <c r="Q986" s="207" t="s">
        <v>645</v>
      </c>
    </row>
    <row r="987" spans="1:17" ht="30" customHeight="1" x14ac:dyDescent="0.35">
      <c r="A987" s="139" t="s">
        <v>949</v>
      </c>
      <c r="B987" s="134"/>
      <c r="C987" s="134"/>
      <c r="D987" s="134"/>
      <c r="E987" s="134"/>
      <c r="F987" s="202"/>
      <c r="G987" s="203"/>
      <c r="H987" s="203"/>
      <c r="I987" s="203"/>
      <c r="J987" s="203"/>
      <c r="K987" s="203"/>
      <c r="L987" s="203"/>
      <c r="M987" s="203"/>
      <c r="N987" s="203"/>
      <c r="O987" s="203"/>
      <c r="P987" s="207" t="s">
        <v>927</v>
      </c>
      <c r="Q987" s="207" t="s">
        <v>645</v>
      </c>
    </row>
    <row r="988" spans="1:17" ht="30" customHeight="1" x14ac:dyDescent="0.35">
      <c r="A988" s="139" t="s">
        <v>950</v>
      </c>
      <c r="B988" s="134"/>
      <c r="C988" s="134"/>
      <c r="D988" s="134"/>
      <c r="E988" s="134"/>
      <c r="F988" s="202"/>
      <c r="G988" s="203"/>
      <c r="H988" s="203"/>
      <c r="I988" s="203"/>
      <c r="J988" s="203"/>
      <c r="K988" s="203"/>
      <c r="L988" s="203"/>
      <c r="M988" s="203"/>
      <c r="N988" s="203"/>
      <c r="O988" s="203"/>
      <c r="P988" s="207" t="s">
        <v>927</v>
      </c>
      <c r="Q988" s="207" t="s">
        <v>645</v>
      </c>
    </row>
    <row r="989" spans="1:17" ht="30" customHeight="1" x14ac:dyDescent="0.35">
      <c r="A989" s="139" t="s">
        <v>1050</v>
      </c>
      <c r="B989" s="134"/>
      <c r="C989" s="134"/>
      <c r="D989" s="134"/>
      <c r="E989" s="134"/>
      <c r="F989" s="202"/>
      <c r="G989" s="203"/>
      <c r="H989" s="203"/>
      <c r="I989" s="203"/>
      <c r="J989" s="203"/>
      <c r="K989" s="203"/>
      <c r="L989" s="203"/>
      <c r="M989" s="203"/>
      <c r="N989" s="203"/>
      <c r="O989" s="203"/>
      <c r="P989" s="207" t="s">
        <v>855</v>
      </c>
      <c r="Q989" s="207" t="s">
        <v>645</v>
      </c>
    </row>
    <row r="990" spans="1:17" ht="30" customHeight="1" x14ac:dyDescent="0.35">
      <c r="A990" s="139" t="s">
        <v>1051</v>
      </c>
      <c r="B990" s="134"/>
      <c r="C990" s="134"/>
      <c r="D990" s="134"/>
      <c r="E990" s="134"/>
      <c r="F990" s="202"/>
      <c r="G990" s="203"/>
      <c r="H990" s="203"/>
      <c r="I990" s="203"/>
      <c r="J990" s="203"/>
      <c r="K990" s="203"/>
      <c r="L990" s="203"/>
      <c r="M990" s="203"/>
      <c r="N990" s="203"/>
      <c r="O990" s="203"/>
      <c r="P990" s="207" t="s">
        <v>855</v>
      </c>
      <c r="Q990" s="207" t="s">
        <v>645</v>
      </c>
    </row>
    <row r="991" spans="1:17" ht="30" customHeight="1" x14ac:dyDescent="0.35">
      <c r="A991" s="208" t="s">
        <v>951</v>
      </c>
      <c r="B991" s="139"/>
      <c r="C991" s="139"/>
      <c r="D991" s="139"/>
      <c r="E991" s="139"/>
      <c r="F991" s="209"/>
      <c r="G991" s="140"/>
      <c r="H991" s="140"/>
      <c r="I991" s="140"/>
      <c r="J991" s="140"/>
      <c r="K991" s="140"/>
      <c r="L991" s="140"/>
      <c r="M991" s="140"/>
      <c r="N991" s="140"/>
      <c r="O991" s="140"/>
      <c r="P991" s="207" t="s">
        <v>855</v>
      </c>
      <c r="Q991" s="207" t="s">
        <v>645</v>
      </c>
    </row>
    <row r="992" spans="1:17" ht="30" customHeight="1" x14ac:dyDescent="0.35">
      <c r="A992" s="208" t="s">
        <v>952</v>
      </c>
      <c r="B992" s="139"/>
      <c r="C992" s="139"/>
      <c r="D992" s="139"/>
      <c r="E992" s="139"/>
      <c r="F992" s="209"/>
      <c r="G992" s="140"/>
      <c r="H992" s="140"/>
      <c r="I992" s="140"/>
      <c r="J992" s="140"/>
      <c r="K992" s="140"/>
      <c r="L992" s="140"/>
      <c r="M992" s="140"/>
      <c r="N992" s="140"/>
      <c r="O992" s="140"/>
      <c r="P992" s="207" t="s">
        <v>855</v>
      </c>
      <c r="Q992" s="207" t="s">
        <v>645</v>
      </c>
    </row>
    <row r="993" spans="1:17" ht="30" customHeight="1" x14ac:dyDescent="0.35">
      <c r="A993" s="208" t="s">
        <v>953</v>
      </c>
      <c r="B993" s="134"/>
      <c r="C993" s="134"/>
      <c r="D993" s="134"/>
      <c r="E993" s="134"/>
      <c r="F993" s="202"/>
      <c r="G993" s="203"/>
      <c r="H993" s="203"/>
      <c r="I993" s="203"/>
      <c r="J993" s="203"/>
      <c r="K993" s="203"/>
      <c r="L993" s="203"/>
      <c r="M993" s="203"/>
      <c r="N993" s="203"/>
      <c r="O993" s="203"/>
      <c r="P993" s="207" t="s">
        <v>855</v>
      </c>
      <c r="Q993" s="207" t="s">
        <v>645</v>
      </c>
    </row>
    <row r="994" spans="1:17" ht="30" customHeight="1" x14ac:dyDescent="0.35">
      <c r="A994" s="208" t="s">
        <v>954</v>
      </c>
      <c r="B994" s="134"/>
      <c r="C994" s="134"/>
      <c r="D994" s="134"/>
      <c r="E994" s="134"/>
      <c r="F994" s="202"/>
      <c r="G994" s="203"/>
      <c r="H994" s="203"/>
      <c r="I994" s="203"/>
      <c r="J994" s="203"/>
      <c r="K994" s="203"/>
      <c r="L994" s="203"/>
      <c r="M994" s="203"/>
      <c r="N994" s="203"/>
      <c r="O994" s="203"/>
      <c r="P994" s="207" t="s">
        <v>855</v>
      </c>
      <c r="Q994" s="207" t="s">
        <v>645</v>
      </c>
    </row>
    <row r="995" spans="1:17" ht="30" customHeight="1" x14ac:dyDescent="0.35">
      <c r="A995" s="208" t="s">
        <v>955</v>
      </c>
      <c r="B995" s="134"/>
      <c r="C995" s="134"/>
      <c r="D995" s="134"/>
      <c r="E995" s="134"/>
      <c r="F995" s="202"/>
      <c r="G995" s="203"/>
      <c r="H995" s="203"/>
      <c r="I995" s="203"/>
      <c r="J995" s="203"/>
      <c r="K995" s="203"/>
      <c r="L995" s="203"/>
      <c r="M995" s="203"/>
      <c r="N995" s="203"/>
      <c r="O995" s="203"/>
      <c r="P995" s="207" t="s">
        <v>855</v>
      </c>
      <c r="Q995" s="207" t="s">
        <v>645</v>
      </c>
    </row>
    <row r="996" spans="1:17" ht="30" customHeight="1" x14ac:dyDescent="0.35">
      <c r="A996" s="208" t="s">
        <v>956</v>
      </c>
      <c r="B996" s="134"/>
      <c r="C996" s="134"/>
      <c r="D996" s="134"/>
      <c r="E996" s="134"/>
      <c r="F996" s="202"/>
      <c r="G996" s="203"/>
      <c r="H996" s="203"/>
      <c r="I996" s="203"/>
      <c r="J996" s="203"/>
      <c r="K996" s="203"/>
      <c r="L996" s="203"/>
      <c r="M996" s="203"/>
      <c r="N996" s="203"/>
      <c r="O996" s="203"/>
      <c r="P996" s="207" t="s">
        <v>855</v>
      </c>
      <c r="Q996" s="207" t="s">
        <v>645</v>
      </c>
    </row>
    <row r="997" spans="1:17" ht="30" customHeight="1" x14ac:dyDescent="0.35">
      <c r="A997" s="208" t="s">
        <v>957</v>
      </c>
      <c r="B997" s="139"/>
      <c r="C997" s="139"/>
      <c r="D997" s="139"/>
      <c r="E997" s="139"/>
      <c r="F997" s="209"/>
      <c r="G997" s="140"/>
      <c r="H997" s="140"/>
      <c r="I997" s="140"/>
      <c r="J997" s="140"/>
      <c r="K997" s="140"/>
      <c r="L997" s="140"/>
      <c r="M997" s="140"/>
      <c r="N997" s="140"/>
      <c r="O997" s="140"/>
      <c r="P997" s="207" t="s">
        <v>855</v>
      </c>
      <c r="Q997" s="207" t="s">
        <v>645</v>
      </c>
    </row>
    <row r="998" spans="1:17" ht="30" customHeight="1" x14ac:dyDescent="0.35">
      <c r="A998" s="208" t="s">
        <v>958</v>
      </c>
      <c r="B998" s="139"/>
      <c r="C998" s="139"/>
      <c r="D998" s="139"/>
      <c r="E998" s="139"/>
      <c r="F998" s="209"/>
      <c r="G998" s="140"/>
      <c r="H998" s="140"/>
      <c r="I998" s="140"/>
      <c r="J998" s="140"/>
      <c r="K998" s="140"/>
      <c r="L998" s="140"/>
      <c r="M998" s="140"/>
      <c r="N998" s="140"/>
      <c r="O998" s="140"/>
      <c r="P998" s="207" t="s">
        <v>855</v>
      </c>
      <c r="Q998" s="207" t="s">
        <v>645</v>
      </c>
    </row>
    <row r="999" spans="1:17" ht="30" customHeight="1" x14ac:dyDescent="0.35">
      <c r="A999" s="208" t="s">
        <v>959</v>
      </c>
      <c r="B999" s="139"/>
      <c r="C999" s="139"/>
      <c r="D999" s="139"/>
      <c r="E999" s="139"/>
      <c r="F999" s="209"/>
      <c r="G999" s="140"/>
      <c r="H999" s="140"/>
      <c r="I999" s="140"/>
      <c r="J999" s="140"/>
      <c r="K999" s="140"/>
      <c r="L999" s="140"/>
      <c r="M999" s="140"/>
      <c r="N999" s="140"/>
      <c r="O999" s="140"/>
      <c r="P999" s="207" t="s">
        <v>960</v>
      </c>
      <c r="Q999" s="207" t="s">
        <v>645</v>
      </c>
    </row>
    <row r="1000" spans="1:17" ht="30" customHeight="1" x14ac:dyDescent="0.35">
      <c r="A1000" s="208" t="s">
        <v>961</v>
      </c>
      <c r="B1000" s="139"/>
      <c r="C1000" s="139"/>
      <c r="D1000" s="139"/>
      <c r="E1000" s="139"/>
      <c r="F1000" s="209"/>
      <c r="G1000" s="140"/>
      <c r="H1000" s="140"/>
      <c r="I1000" s="140"/>
      <c r="J1000" s="140"/>
      <c r="K1000" s="140"/>
      <c r="L1000" s="140"/>
      <c r="M1000" s="140"/>
      <c r="N1000" s="140"/>
      <c r="O1000" s="140"/>
      <c r="P1000" s="207" t="s">
        <v>960</v>
      </c>
      <c r="Q1000" s="207" t="s">
        <v>645</v>
      </c>
    </row>
    <row r="1001" spans="1:17" ht="30" customHeight="1" x14ac:dyDescent="0.35">
      <c r="A1001" s="208" t="s">
        <v>962</v>
      </c>
      <c r="B1001" s="134"/>
      <c r="C1001" s="134"/>
      <c r="D1001" s="134"/>
      <c r="E1001" s="134"/>
      <c r="F1001" s="202"/>
      <c r="G1001" s="203"/>
      <c r="H1001" s="203"/>
      <c r="I1001" s="203"/>
      <c r="J1001" s="203"/>
      <c r="K1001" s="203"/>
      <c r="L1001" s="203"/>
      <c r="M1001" s="203"/>
      <c r="N1001" s="203"/>
      <c r="O1001" s="203"/>
      <c r="P1001" s="207" t="s">
        <v>855</v>
      </c>
      <c r="Q1001" s="207" t="s">
        <v>645</v>
      </c>
    </row>
    <row r="1002" spans="1:17" ht="30" customHeight="1" x14ac:dyDescent="0.35">
      <c r="A1002" s="208" t="s">
        <v>963</v>
      </c>
      <c r="B1002" s="134"/>
      <c r="C1002" s="134"/>
      <c r="D1002" s="134"/>
      <c r="E1002" s="134"/>
      <c r="F1002" s="202"/>
      <c r="G1002" s="203"/>
      <c r="H1002" s="203"/>
      <c r="I1002" s="203"/>
      <c r="J1002" s="203"/>
      <c r="K1002" s="203"/>
      <c r="L1002" s="203"/>
      <c r="M1002" s="203"/>
      <c r="N1002" s="203"/>
      <c r="O1002" s="203"/>
      <c r="P1002" s="207" t="s">
        <v>857</v>
      </c>
      <c r="Q1002" s="207" t="s">
        <v>645</v>
      </c>
    </row>
    <row r="1003" spans="1:17" ht="30" customHeight="1" x14ac:dyDescent="0.35">
      <c r="A1003" s="208" t="s">
        <v>964</v>
      </c>
      <c r="B1003" s="134"/>
      <c r="C1003" s="134"/>
      <c r="D1003" s="134"/>
      <c r="E1003" s="134"/>
      <c r="F1003" s="202"/>
      <c r="G1003" s="203"/>
      <c r="H1003" s="203"/>
      <c r="I1003" s="203"/>
      <c r="J1003" s="203"/>
      <c r="K1003" s="203"/>
      <c r="L1003" s="203"/>
      <c r="M1003" s="203"/>
      <c r="N1003" s="203"/>
      <c r="O1003" s="203"/>
      <c r="P1003" s="207" t="s">
        <v>857</v>
      </c>
      <c r="Q1003" s="207" t="s">
        <v>645</v>
      </c>
    </row>
    <row r="1004" spans="1:17" ht="30" customHeight="1" x14ac:dyDescent="0.35">
      <c r="A1004" s="208" t="s">
        <v>1048</v>
      </c>
      <c r="B1004" s="134"/>
      <c r="C1004" s="134"/>
      <c r="D1004" s="134"/>
      <c r="E1004" s="134"/>
      <c r="F1004" s="202"/>
      <c r="G1004" s="203"/>
      <c r="H1004" s="203"/>
      <c r="I1004" s="203"/>
      <c r="J1004" s="203"/>
      <c r="K1004" s="203"/>
      <c r="L1004" s="203"/>
      <c r="M1004" s="203"/>
      <c r="N1004" s="203"/>
      <c r="O1004" s="203"/>
      <c r="P1004" s="207" t="s">
        <v>855</v>
      </c>
      <c r="Q1004" s="207" t="s">
        <v>645</v>
      </c>
    </row>
    <row r="1005" spans="1:17" ht="30" customHeight="1" x14ac:dyDescent="0.35">
      <c r="A1005" s="208" t="s">
        <v>965</v>
      </c>
      <c r="B1005" s="139"/>
      <c r="C1005" s="139"/>
      <c r="D1005" s="139"/>
      <c r="E1005" s="139"/>
      <c r="F1005" s="209"/>
      <c r="G1005" s="140"/>
      <c r="H1005" s="140"/>
      <c r="I1005" s="140"/>
      <c r="J1005" s="140"/>
      <c r="K1005" s="140"/>
      <c r="L1005" s="140"/>
      <c r="M1005" s="140"/>
      <c r="N1005" s="140"/>
      <c r="O1005" s="140"/>
      <c r="P1005" s="207" t="s">
        <v>855</v>
      </c>
      <c r="Q1005" s="207" t="s">
        <v>645</v>
      </c>
    </row>
    <row r="1006" spans="1:17" ht="30" customHeight="1" x14ac:dyDescent="0.35">
      <c r="A1006" s="208" t="s">
        <v>966</v>
      </c>
      <c r="B1006" s="139"/>
      <c r="C1006" s="139"/>
      <c r="D1006" s="139"/>
      <c r="E1006" s="139"/>
      <c r="F1006" s="209"/>
      <c r="G1006" s="140"/>
      <c r="H1006" s="140"/>
      <c r="I1006" s="140"/>
      <c r="J1006" s="140"/>
      <c r="K1006" s="140"/>
      <c r="L1006" s="140"/>
      <c r="M1006" s="140"/>
      <c r="N1006" s="140"/>
      <c r="O1006" s="140"/>
      <c r="P1006" s="207" t="s">
        <v>855</v>
      </c>
      <c r="Q1006" s="207" t="s">
        <v>645</v>
      </c>
    </row>
    <row r="1007" spans="1:17" ht="30" customHeight="1" x14ac:dyDescent="0.35">
      <c r="A1007" s="208" t="s">
        <v>967</v>
      </c>
      <c r="B1007" s="139"/>
      <c r="C1007" s="139"/>
      <c r="D1007" s="139"/>
      <c r="E1007" s="139"/>
      <c r="F1007" s="209"/>
      <c r="G1007" s="140"/>
      <c r="H1007" s="140"/>
      <c r="I1007" s="140"/>
      <c r="J1007" s="140"/>
      <c r="K1007" s="140"/>
      <c r="L1007" s="140"/>
      <c r="M1007" s="140"/>
      <c r="N1007" s="140"/>
      <c r="O1007" s="140"/>
      <c r="P1007" s="207" t="s">
        <v>855</v>
      </c>
      <c r="Q1007" s="207" t="s">
        <v>645</v>
      </c>
    </row>
    <row r="1008" spans="1:17" ht="30" customHeight="1" x14ac:dyDescent="0.35">
      <c r="A1008" s="208" t="s">
        <v>1067</v>
      </c>
      <c r="B1008" s="139"/>
      <c r="C1008" s="139"/>
      <c r="D1008" s="139"/>
      <c r="E1008" s="139"/>
      <c r="F1008" s="209"/>
      <c r="G1008" s="140"/>
      <c r="H1008" s="140"/>
      <c r="I1008" s="140"/>
      <c r="J1008" s="140"/>
      <c r="K1008" s="140"/>
      <c r="L1008" s="140"/>
      <c r="M1008" s="140"/>
      <c r="N1008" s="140"/>
      <c r="O1008" s="140"/>
      <c r="P1008" s="207" t="s">
        <v>855</v>
      </c>
      <c r="Q1008" s="207" t="s">
        <v>645</v>
      </c>
    </row>
    <row r="1009" spans="1:17" ht="30" customHeight="1" x14ac:dyDescent="0.35">
      <c r="A1009" s="208" t="s">
        <v>968</v>
      </c>
      <c r="B1009" s="139"/>
      <c r="C1009" s="139"/>
      <c r="D1009" s="139"/>
      <c r="E1009" s="139"/>
      <c r="F1009" s="209"/>
      <c r="G1009" s="140"/>
      <c r="H1009" s="140"/>
      <c r="I1009" s="140"/>
      <c r="J1009" s="140"/>
      <c r="K1009" s="140"/>
      <c r="L1009" s="140"/>
      <c r="M1009" s="140"/>
      <c r="N1009" s="140"/>
      <c r="O1009" s="140"/>
      <c r="P1009" s="207" t="s">
        <v>855</v>
      </c>
      <c r="Q1009" s="207" t="s">
        <v>645</v>
      </c>
    </row>
    <row r="1010" spans="1:17" ht="30" customHeight="1" x14ac:dyDescent="0.35">
      <c r="A1010" s="208" t="s">
        <v>1068</v>
      </c>
      <c r="B1010" s="139"/>
      <c r="C1010" s="139"/>
      <c r="D1010" s="139"/>
      <c r="E1010" s="139"/>
      <c r="F1010" s="209"/>
      <c r="G1010" s="140"/>
      <c r="H1010" s="140"/>
      <c r="I1010" s="140"/>
      <c r="J1010" s="140"/>
      <c r="K1010" s="140"/>
      <c r="L1010" s="140"/>
      <c r="M1010" s="140"/>
      <c r="N1010" s="140"/>
      <c r="O1010" s="140"/>
      <c r="P1010" s="207" t="s">
        <v>855</v>
      </c>
      <c r="Q1010" s="207" t="s">
        <v>645</v>
      </c>
    </row>
    <row r="1011" spans="1:17" ht="30" customHeight="1" x14ac:dyDescent="0.35">
      <c r="A1011" s="208" t="s">
        <v>969</v>
      </c>
      <c r="B1011" s="139"/>
      <c r="C1011" s="139"/>
      <c r="D1011" s="139"/>
      <c r="E1011" s="139"/>
      <c r="F1011" s="209"/>
      <c r="G1011" s="140"/>
      <c r="H1011" s="140"/>
      <c r="I1011" s="140"/>
      <c r="J1011" s="140"/>
      <c r="K1011" s="140"/>
      <c r="L1011" s="140"/>
      <c r="M1011" s="140"/>
      <c r="N1011" s="140"/>
      <c r="O1011" s="140"/>
      <c r="P1011" s="207" t="s">
        <v>855</v>
      </c>
      <c r="Q1011" s="207" t="s">
        <v>645</v>
      </c>
    </row>
    <row r="1012" spans="1:17" ht="30" customHeight="1" x14ac:dyDescent="0.35">
      <c r="A1012" s="208" t="s">
        <v>970</v>
      </c>
      <c r="B1012" s="139"/>
      <c r="C1012" s="139"/>
      <c r="D1012" s="139"/>
      <c r="E1012" s="139"/>
      <c r="F1012" s="209"/>
      <c r="G1012" s="140"/>
      <c r="H1012" s="140"/>
      <c r="I1012" s="140"/>
      <c r="J1012" s="140"/>
      <c r="K1012" s="140"/>
      <c r="L1012" s="140"/>
      <c r="M1012" s="140"/>
      <c r="N1012" s="140"/>
      <c r="O1012" s="140"/>
      <c r="P1012" s="207" t="s">
        <v>855</v>
      </c>
      <c r="Q1012" s="207" t="s">
        <v>645</v>
      </c>
    </row>
    <row r="1013" spans="1:17" ht="30" customHeight="1" x14ac:dyDescent="0.35">
      <c r="A1013" s="208" t="s">
        <v>971</v>
      </c>
      <c r="B1013" s="134"/>
      <c r="C1013" s="134"/>
      <c r="D1013" s="134"/>
      <c r="E1013" s="134"/>
      <c r="F1013" s="202"/>
      <c r="G1013" s="203"/>
      <c r="H1013" s="203"/>
      <c r="I1013" s="203"/>
      <c r="J1013" s="203"/>
      <c r="K1013" s="203"/>
      <c r="L1013" s="203"/>
      <c r="M1013" s="203"/>
      <c r="N1013" s="203"/>
      <c r="O1013" s="203"/>
      <c r="P1013" s="207" t="s">
        <v>855</v>
      </c>
      <c r="Q1013" s="207" t="s">
        <v>645</v>
      </c>
    </row>
    <row r="1014" spans="1:17" ht="30" customHeight="1" x14ac:dyDescent="0.35">
      <c r="A1014" s="208" t="s">
        <v>972</v>
      </c>
      <c r="B1014" s="134"/>
      <c r="C1014" s="134"/>
      <c r="D1014" s="134"/>
      <c r="E1014" s="134"/>
      <c r="F1014" s="202"/>
      <c r="G1014" s="203"/>
      <c r="H1014" s="203"/>
      <c r="I1014" s="203"/>
      <c r="J1014" s="203"/>
      <c r="K1014" s="203"/>
      <c r="L1014" s="203"/>
      <c r="M1014" s="203"/>
      <c r="N1014" s="203"/>
      <c r="O1014" s="203"/>
      <c r="P1014" s="207" t="s">
        <v>855</v>
      </c>
      <c r="Q1014" s="207" t="s">
        <v>645</v>
      </c>
    </row>
    <row r="1015" spans="1:17" ht="30" customHeight="1" x14ac:dyDescent="0.35">
      <c r="A1015" s="208" t="s">
        <v>1039</v>
      </c>
      <c r="B1015" s="139"/>
      <c r="C1015" s="139"/>
      <c r="D1015" s="139"/>
      <c r="E1015" s="139"/>
      <c r="F1015" s="209"/>
      <c r="G1015" s="140"/>
      <c r="H1015" s="140"/>
      <c r="I1015" s="140"/>
      <c r="J1015" s="140"/>
      <c r="K1015" s="140"/>
      <c r="L1015" s="140"/>
      <c r="M1015" s="140"/>
      <c r="N1015" s="140"/>
      <c r="O1015" s="140"/>
      <c r="P1015" s="207" t="s">
        <v>855</v>
      </c>
      <c r="Q1015" s="207" t="s">
        <v>645</v>
      </c>
    </row>
    <row r="1016" spans="1:17" ht="30" customHeight="1" x14ac:dyDescent="0.35">
      <c r="A1016" s="208" t="s">
        <v>1063</v>
      </c>
      <c r="B1016" s="134"/>
      <c r="C1016" s="134"/>
      <c r="D1016" s="134"/>
      <c r="E1016" s="134"/>
      <c r="F1016" s="202"/>
      <c r="G1016" s="203"/>
      <c r="H1016" s="203"/>
      <c r="I1016" s="203"/>
      <c r="J1016" s="203"/>
      <c r="K1016" s="203"/>
      <c r="L1016" s="203"/>
      <c r="M1016" s="203"/>
      <c r="N1016" s="203"/>
      <c r="O1016" s="203"/>
      <c r="P1016" s="207" t="s">
        <v>855</v>
      </c>
      <c r="Q1016" s="207" t="s">
        <v>645</v>
      </c>
    </row>
    <row r="1017" spans="1:17" ht="30" customHeight="1" x14ac:dyDescent="0.35">
      <c r="A1017" s="208" t="s">
        <v>1064</v>
      </c>
      <c r="B1017" s="134"/>
      <c r="C1017" s="134"/>
      <c r="D1017" s="134"/>
      <c r="E1017" s="134"/>
      <c r="F1017" s="202"/>
      <c r="G1017" s="203"/>
      <c r="H1017" s="203"/>
      <c r="I1017" s="203"/>
      <c r="J1017" s="203"/>
      <c r="K1017" s="203"/>
      <c r="L1017" s="203"/>
      <c r="M1017" s="203"/>
      <c r="N1017" s="203"/>
      <c r="O1017" s="203"/>
      <c r="P1017" s="207" t="s">
        <v>855</v>
      </c>
      <c r="Q1017" s="207" t="s">
        <v>645</v>
      </c>
    </row>
    <row r="1018" spans="1:17" ht="30" customHeight="1" x14ac:dyDescent="0.35">
      <c r="A1018" s="208" t="s">
        <v>1040</v>
      </c>
      <c r="B1018" s="139"/>
      <c r="C1018" s="139"/>
      <c r="D1018" s="139"/>
      <c r="E1018" s="139"/>
      <c r="F1018" s="209"/>
      <c r="G1018" s="140"/>
      <c r="H1018" s="140"/>
      <c r="I1018" s="140"/>
      <c r="J1018" s="140"/>
      <c r="K1018" s="140"/>
      <c r="L1018" s="140"/>
      <c r="M1018" s="140"/>
      <c r="N1018" s="140"/>
      <c r="O1018" s="140"/>
      <c r="P1018" s="207" t="s">
        <v>855</v>
      </c>
      <c r="Q1018" s="207" t="s">
        <v>645</v>
      </c>
    </row>
    <row r="1019" spans="1:17" ht="30" customHeight="1" x14ac:dyDescent="0.35">
      <c r="A1019" s="208" t="s">
        <v>1065</v>
      </c>
      <c r="B1019" s="134"/>
      <c r="C1019" s="134"/>
      <c r="D1019" s="134"/>
      <c r="E1019" s="134"/>
      <c r="F1019" s="202"/>
      <c r="G1019" s="203"/>
      <c r="H1019" s="203"/>
      <c r="I1019" s="203"/>
      <c r="J1019" s="203"/>
      <c r="K1019" s="203"/>
      <c r="L1019" s="203"/>
      <c r="M1019" s="203"/>
      <c r="N1019" s="203"/>
      <c r="O1019" s="203"/>
      <c r="P1019" s="207" t="s">
        <v>855</v>
      </c>
      <c r="Q1019" s="207" t="s">
        <v>645</v>
      </c>
    </row>
    <row r="1020" spans="1:17" ht="30" customHeight="1" x14ac:dyDescent="0.35">
      <c r="A1020" s="208" t="s">
        <v>1066</v>
      </c>
      <c r="B1020" s="134"/>
      <c r="C1020" s="134"/>
      <c r="D1020" s="134"/>
      <c r="E1020" s="134"/>
      <c r="F1020" s="202"/>
      <c r="G1020" s="203"/>
      <c r="H1020" s="203"/>
      <c r="I1020" s="203"/>
      <c r="J1020" s="203"/>
      <c r="K1020" s="203"/>
      <c r="L1020" s="203"/>
      <c r="M1020" s="203"/>
      <c r="N1020" s="203"/>
      <c r="O1020" s="203"/>
      <c r="P1020" s="207" t="s">
        <v>855</v>
      </c>
      <c r="Q1020" s="207" t="s">
        <v>645</v>
      </c>
    </row>
    <row r="1021" spans="1:17" ht="30" customHeight="1" x14ac:dyDescent="0.35">
      <c r="A1021" s="208" t="s">
        <v>973</v>
      </c>
      <c r="B1021" s="134"/>
      <c r="C1021" s="134"/>
      <c r="D1021" s="134"/>
      <c r="E1021" s="134"/>
      <c r="F1021" s="202"/>
      <c r="G1021" s="203"/>
      <c r="H1021" s="203"/>
      <c r="I1021" s="203"/>
      <c r="J1021" s="203"/>
      <c r="K1021" s="203"/>
      <c r="L1021" s="203"/>
      <c r="M1021" s="203"/>
      <c r="N1021" s="203"/>
      <c r="O1021" s="203"/>
      <c r="P1021" s="207" t="s">
        <v>855</v>
      </c>
      <c r="Q1021" s="207" t="s">
        <v>645</v>
      </c>
    </row>
    <row r="1022" spans="1:17" ht="30" customHeight="1" x14ac:dyDescent="0.35">
      <c r="A1022" s="208" t="s">
        <v>974</v>
      </c>
      <c r="B1022" s="139"/>
      <c r="C1022" s="139"/>
      <c r="D1022" s="139"/>
      <c r="E1022" s="139"/>
      <c r="F1022" s="209"/>
      <c r="G1022" s="140"/>
      <c r="H1022" s="140"/>
      <c r="I1022" s="140"/>
      <c r="J1022" s="140"/>
      <c r="K1022" s="140"/>
      <c r="L1022" s="140"/>
      <c r="M1022" s="140"/>
      <c r="N1022" s="140"/>
      <c r="O1022" s="140"/>
      <c r="P1022" s="207" t="s">
        <v>855</v>
      </c>
      <c r="Q1022" s="207" t="s">
        <v>645</v>
      </c>
    </row>
    <row r="1023" spans="1:17" ht="30" customHeight="1" x14ac:dyDescent="0.35">
      <c r="A1023" s="208" t="s">
        <v>975</v>
      </c>
      <c r="B1023" s="139"/>
      <c r="C1023" s="139"/>
      <c r="D1023" s="139"/>
      <c r="E1023" s="139"/>
      <c r="F1023" s="209"/>
      <c r="G1023" s="140"/>
      <c r="H1023" s="140"/>
      <c r="I1023" s="140"/>
      <c r="J1023" s="140"/>
      <c r="K1023" s="140"/>
      <c r="L1023" s="140"/>
      <c r="M1023" s="140"/>
      <c r="N1023" s="140"/>
      <c r="O1023" s="140"/>
      <c r="P1023" s="207" t="s">
        <v>855</v>
      </c>
      <c r="Q1023" s="207" t="s">
        <v>645</v>
      </c>
    </row>
    <row r="1024" spans="1:17" ht="30" customHeight="1" x14ac:dyDescent="0.35">
      <c r="A1024" s="208" t="s">
        <v>1045</v>
      </c>
      <c r="B1024" s="139"/>
      <c r="C1024" s="139"/>
      <c r="D1024" s="139"/>
      <c r="E1024" s="139"/>
      <c r="F1024" s="209"/>
      <c r="G1024" s="140"/>
      <c r="H1024" s="140"/>
      <c r="I1024" s="140"/>
      <c r="J1024" s="140"/>
      <c r="K1024" s="140"/>
      <c r="L1024" s="140"/>
      <c r="M1024" s="140"/>
      <c r="N1024" s="140"/>
      <c r="O1024" s="140"/>
      <c r="P1024" s="207" t="s">
        <v>857</v>
      </c>
      <c r="Q1024" s="207" t="s">
        <v>645</v>
      </c>
    </row>
    <row r="1025" spans="1:17" ht="30" customHeight="1" x14ac:dyDescent="0.35">
      <c r="A1025" s="208" t="s">
        <v>1046</v>
      </c>
      <c r="B1025" s="139"/>
      <c r="C1025" s="139"/>
      <c r="D1025" s="139"/>
      <c r="E1025" s="139"/>
      <c r="F1025" s="209"/>
      <c r="G1025" s="140"/>
      <c r="H1025" s="140"/>
      <c r="I1025" s="140"/>
      <c r="J1025" s="140"/>
      <c r="K1025" s="140"/>
      <c r="L1025" s="140"/>
      <c r="M1025" s="140"/>
      <c r="N1025" s="140"/>
      <c r="O1025" s="140"/>
      <c r="P1025" s="207" t="s">
        <v>857</v>
      </c>
      <c r="Q1025" s="207" t="s">
        <v>645</v>
      </c>
    </row>
    <row r="1026" spans="1:17" ht="30" customHeight="1" x14ac:dyDescent="0.35">
      <c r="A1026" s="208" t="s">
        <v>1047</v>
      </c>
      <c r="B1026" s="139"/>
      <c r="C1026" s="139"/>
      <c r="D1026" s="139"/>
      <c r="E1026" s="139"/>
      <c r="F1026" s="209"/>
      <c r="G1026" s="140"/>
      <c r="H1026" s="140"/>
      <c r="I1026" s="140"/>
      <c r="J1026" s="140"/>
      <c r="K1026" s="140"/>
      <c r="L1026" s="140"/>
      <c r="M1026" s="140"/>
      <c r="N1026" s="140"/>
      <c r="O1026" s="140"/>
      <c r="P1026" s="207" t="s">
        <v>857</v>
      </c>
      <c r="Q1026" s="207" t="s">
        <v>645</v>
      </c>
    </row>
    <row r="1027" spans="1:17" ht="30" customHeight="1" x14ac:dyDescent="0.35">
      <c r="A1027" s="208" t="s">
        <v>976</v>
      </c>
      <c r="B1027" s="139"/>
      <c r="C1027" s="139"/>
      <c r="D1027" s="139"/>
      <c r="E1027" s="139"/>
      <c r="F1027" s="209"/>
      <c r="G1027" s="140"/>
      <c r="H1027" s="140"/>
      <c r="I1027" s="140"/>
      <c r="J1027" s="140"/>
      <c r="K1027" s="140"/>
      <c r="L1027" s="140"/>
      <c r="M1027" s="140"/>
      <c r="N1027" s="140"/>
      <c r="O1027" s="140"/>
      <c r="P1027" s="207" t="s">
        <v>857</v>
      </c>
      <c r="Q1027" s="207" t="s">
        <v>645</v>
      </c>
    </row>
    <row r="1028" spans="1:17" ht="30" customHeight="1" x14ac:dyDescent="0.35">
      <c r="A1028" s="208" t="s">
        <v>977</v>
      </c>
      <c r="B1028" s="139"/>
      <c r="C1028" s="139"/>
      <c r="D1028" s="139"/>
      <c r="E1028" s="139"/>
      <c r="F1028" s="209"/>
      <c r="G1028" s="140"/>
      <c r="H1028" s="140"/>
      <c r="I1028" s="140"/>
      <c r="J1028" s="140"/>
      <c r="K1028" s="140"/>
      <c r="L1028" s="140"/>
      <c r="M1028" s="140"/>
      <c r="N1028" s="140"/>
      <c r="O1028" s="140"/>
      <c r="P1028" s="207" t="s">
        <v>857</v>
      </c>
      <c r="Q1028" s="207" t="s">
        <v>645</v>
      </c>
    </row>
    <row r="1029" spans="1:17" ht="30" customHeight="1" x14ac:dyDescent="0.35">
      <c r="A1029" s="208" t="s">
        <v>1049</v>
      </c>
      <c r="B1029" s="139"/>
      <c r="C1029" s="139"/>
      <c r="D1029" s="139"/>
      <c r="E1029" s="139"/>
      <c r="F1029" s="209"/>
      <c r="G1029" s="140"/>
      <c r="H1029" s="140"/>
      <c r="I1029" s="140"/>
      <c r="J1029" s="140"/>
      <c r="K1029" s="140"/>
      <c r="L1029" s="140"/>
      <c r="M1029" s="140"/>
      <c r="N1029" s="140"/>
      <c r="O1029" s="140"/>
      <c r="P1029" s="207" t="s">
        <v>855</v>
      </c>
      <c r="Q1029" s="207" t="s">
        <v>645</v>
      </c>
    </row>
    <row r="1030" spans="1:17" ht="30" customHeight="1" x14ac:dyDescent="0.35">
      <c r="A1030" s="176" t="s">
        <v>1034</v>
      </c>
      <c r="B1030" s="178"/>
      <c r="C1030" s="178"/>
      <c r="D1030" s="178"/>
      <c r="E1030" s="178"/>
      <c r="F1030" s="179"/>
      <c r="G1030" s="180"/>
      <c r="H1030" s="180"/>
      <c r="I1030" s="180"/>
      <c r="J1030" s="180"/>
      <c r="K1030" s="180"/>
      <c r="L1030" s="180"/>
      <c r="M1030" s="180"/>
      <c r="N1030" s="180"/>
      <c r="O1030" s="180"/>
      <c r="P1030" s="177" t="s">
        <v>641</v>
      </c>
      <c r="Q1030" s="177" t="s">
        <v>642</v>
      </c>
    </row>
    <row r="1031" spans="1:17" ht="30" customHeight="1" x14ac:dyDescent="0.35">
      <c r="A1031" s="208" t="s">
        <v>799</v>
      </c>
      <c r="B1031" s="134"/>
      <c r="C1031" s="134"/>
      <c r="D1031" s="134"/>
      <c r="E1031" s="134"/>
      <c r="F1031" s="202"/>
      <c r="G1031" s="203"/>
      <c r="H1031" s="203"/>
      <c r="I1031" s="203"/>
      <c r="J1031" s="203"/>
      <c r="K1031" s="203"/>
      <c r="L1031" s="203"/>
      <c r="M1031" s="203"/>
      <c r="N1031" s="203"/>
      <c r="O1031" s="203"/>
      <c r="P1031" s="207" t="s">
        <v>739</v>
      </c>
      <c r="Q1031" s="207" t="s">
        <v>645</v>
      </c>
    </row>
    <row r="1032" spans="1:17" ht="30" customHeight="1" x14ac:dyDescent="0.35">
      <c r="A1032" s="208" t="s">
        <v>803</v>
      </c>
      <c r="B1032" s="134"/>
      <c r="C1032" s="134"/>
      <c r="D1032" s="134"/>
      <c r="E1032" s="134"/>
      <c r="F1032" s="202"/>
      <c r="G1032" s="203"/>
      <c r="H1032" s="203"/>
      <c r="I1032" s="203"/>
      <c r="J1032" s="203"/>
      <c r="K1032" s="203"/>
      <c r="L1032" s="203"/>
      <c r="M1032" s="203"/>
      <c r="N1032" s="203"/>
      <c r="O1032" s="203"/>
      <c r="P1032" s="207" t="s">
        <v>739</v>
      </c>
      <c r="Q1032" s="207" t="s">
        <v>645</v>
      </c>
    </row>
    <row r="1033" spans="1:17" ht="30" customHeight="1" x14ac:dyDescent="0.35">
      <c r="A1033" s="208" t="s">
        <v>978</v>
      </c>
      <c r="B1033" s="134"/>
      <c r="C1033" s="134"/>
      <c r="D1033" s="134"/>
      <c r="E1033" s="134"/>
      <c r="F1033" s="202"/>
      <c r="G1033" s="203"/>
      <c r="H1033" s="203"/>
      <c r="I1033" s="203"/>
      <c r="J1033" s="203"/>
      <c r="K1033" s="203"/>
      <c r="L1033" s="203"/>
      <c r="M1033" s="203"/>
      <c r="N1033" s="203"/>
      <c r="O1033" s="203"/>
      <c r="P1033" s="207" t="s">
        <v>674</v>
      </c>
      <c r="Q1033" s="207" t="s">
        <v>645</v>
      </c>
    </row>
    <row r="1034" spans="1:17" ht="30" customHeight="1" x14ac:dyDescent="0.35">
      <c r="A1034" s="208" t="s">
        <v>979</v>
      </c>
      <c r="B1034" s="134"/>
      <c r="C1034" s="134"/>
      <c r="D1034" s="134"/>
      <c r="E1034" s="134"/>
      <c r="F1034" s="202"/>
      <c r="G1034" s="203"/>
      <c r="H1034" s="203"/>
      <c r="I1034" s="203"/>
      <c r="J1034" s="203"/>
      <c r="K1034" s="203"/>
      <c r="L1034" s="203"/>
      <c r="M1034" s="203"/>
      <c r="N1034" s="203"/>
      <c r="O1034" s="203"/>
      <c r="P1034" s="207" t="s">
        <v>739</v>
      </c>
      <c r="Q1034" s="207" t="s">
        <v>645</v>
      </c>
    </row>
    <row r="1035" spans="1:17" ht="30" customHeight="1" x14ac:dyDescent="0.35">
      <c r="A1035" s="208" t="s">
        <v>1057</v>
      </c>
      <c r="B1035" s="134"/>
      <c r="C1035" s="134"/>
      <c r="D1035" s="134"/>
      <c r="E1035" s="134"/>
      <c r="F1035" s="202"/>
      <c r="G1035" s="203"/>
      <c r="H1035" s="203"/>
      <c r="I1035" s="203"/>
      <c r="J1035" s="203"/>
      <c r="K1035" s="203"/>
      <c r="L1035" s="203"/>
      <c r="M1035" s="203"/>
      <c r="N1035" s="203"/>
      <c r="O1035" s="203"/>
      <c r="P1035" s="207" t="s">
        <v>739</v>
      </c>
      <c r="Q1035" s="207" t="s">
        <v>645</v>
      </c>
    </row>
    <row r="1036" spans="1:17" ht="30" customHeight="1" x14ac:dyDescent="0.35">
      <c r="A1036" s="208" t="s">
        <v>980</v>
      </c>
      <c r="B1036" s="134"/>
      <c r="C1036" s="134"/>
      <c r="D1036" s="134"/>
      <c r="E1036" s="134"/>
      <c r="F1036" s="202"/>
      <c r="G1036" s="203"/>
      <c r="H1036" s="203"/>
      <c r="I1036" s="203"/>
      <c r="J1036" s="203"/>
      <c r="K1036" s="203"/>
      <c r="L1036" s="203"/>
      <c r="M1036" s="203"/>
      <c r="N1036" s="203"/>
      <c r="O1036" s="203"/>
      <c r="P1036" s="207" t="s">
        <v>739</v>
      </c>
      <c r="Q1036" s="207" t="s">
        <v>645</v>
      </c>
    </row>
    <row r="1037" spans="1:17" ht="30" customHeight="1" x14ac:dyDescent="0.35">
      <c r="A1037" s="208" t="s">
        <v>981</v>
      </c>
      <c r="B1037" s="134"/>
      <c r="C1037" s="134"/>
      <c r="D1037" s="134"/>
      <c r="E1037" s="134"/>
      <c r="F1037" s="202"/>
      <c r="G1037" s="203"/>
      <c r="H1037" s="203"/>
      <c r="I1037" s="203"/>
      <c r="J1037" s="203"/>
      <c r="K1037" s="203"/>
      <c r="L1037" s="203"/>
      <c r="M1037" s="203"/>
      <c r="N1037" s="203"/>
      <c r="O1037" s="203"/>
      <c r="P1037" s="207" t="s">
        <v>739</v>
      </c>
      <c r="Q1037" s="207" t="s">
        <v>645</v>
      </c>
    </row>
    <row r="1038" spans="1:17" ht="30" customHeight="1" x14ac:dyDescent="0.35">
      <c r="A1038" s="208" t="s">
        <v>804</v>
      </c>
      <c r="B1038" s="134"/>
      <c r="C1038" s="134"/>
      <c r="D1038" s="134"/>
      <c r="E1038" s="134"/>
      <c r="F1038" s="202"/>
      <c r="G1038" s="203"/>
      <c r="H1038" s="203"/>
      <c r="I1038" s="203"/>
      <c r="J1038" s="203"/>
      <c r="K1038" s="203"/>
      <c r="L1038" s="203"/>
      <c r="M1038" s="203"/>
      <c r="N1038" s="203"/>
      <c r="O1038" s="203"/>
      <c r="P1038" s="207" t="s">
        <v>739</v>
      </c>
      <c r="Q1038" s="207" t="s">
        <v>645</v>
      </c>
    </row>
    <row r="1039" spans="1:17" ht="30" customHeight="1" x14ac:dyDescent="0.35">
      <c r="A1039" s="208" t="s">
        <v>801</v>
      </c>
      <c r="B1039" s="134"/>
      <c r="C1039" s="134"/>
      <c r="D1039" s="134"/>
      <c r="E1039" s="134"/>
      <c r="F1039" s="202"/>
      <c r="G1039" s="203"/>
      <c r="H1039" s="203"/>
      <c r="I1039" s="203"/>
      <c r="J1039" s="203"/>
      <c r="K1039" s="203"/>
      <c r="L1039" s="203"/>
      <c r="M1039" s="203"/>
      <c r="N1039" s="203"/>
      <c r="O1039" s="203"/>
      <c r="P1039" s="207" t="s">
        <v>739</v>
      </c>
      <c r="Q1039" s="207" t="s">
        <v>645</v>
      </c>
    </row>
    <row r="1040" spans="1:17" ht="30" customHeight="1" x14ac:dyDescent="0.35">
      <c r="A1040" s="208" t="s">
        <v>1060</v>
      </c>
      <c r="B1040" s="134"/>
      <c r="C1040" s="134"/>
      <c r="D1040" s="134"/>
      <c r="E1040" s="134"/>
      <c r="F1040" s="202"/>
      <c r="G1040" s="203"/>
      <c r="H1040" s="203"/>
      <c r="I1040" s="203"/>
      <c r="J1040" s="203"/>
      <c r="K1040" s="203"/>
      <c r="L1040" s="203"/>
      <c r="M1040" s="203"/>
      <c r="N1040" s="203"/>
      <c r="O1040" s="203"/>
      <c r="P1040" s="207" t="s">
        <v>739</v>
      </c>
      <c r="Q1040" s="207" t="s">
        <v>645</v>
      </c>
    </row>
    <row r="1041" spans="1:17" ht="30" customHeight="1" x14ac:dyDescent="0.35">
      <c r="A1041" s="208" t="s">
        <v>800</v>
      </c>
      <c r="B1041" s="134"/>
      <c r="C1041" s="134"/>
      <c r="D1041" s="134"/>
      <c r="E1041" s="134"/>
      <c r="F1041" s="202"/>
      <c r="G1041" s="203"/>
      <c r="H1041" s="203"/>
      <c r="I1041" s="203"/>
      <c r="J1041" s="203"/>
      <c r="K1041" s="203"/>
      <c r="L1041" s="203"/>
      <c r="M1041" s="203"/>
      <c r="N1041" s="203"/>
      <c r="O1041" s="203"/>
      <c r="P1041" s="207" t="s">
        <v>739</v>
      </c>
      <c r="Q1041" s="207" t="s">
        <v>645</v>
      </c>
    </row>
    <row r="1042" spans="1:17" ht="30" customHeight="1" x14ac:dyDescent="0.35">
      <c r="A1042" s="208" t="s">
        <v>805</v>
      </c>
      <c r="B1042" s="134"/>
      <c r="C1042" s="134"/>
      <c r="D1042" s="134"/>
      <c r="E1042" s="134"/>
      <c r="F1042" s="202"/>
      <c r="G1042" s="203"/>
      <c r="H1042" s="203"/>
      <c r="I1042" s="203"/>
      <c r="J1042" s="203"/>
      <c r="K1042" s="203"/>
      <c r="L1042" s="203"/>
      <c r="M1042" s="203"/>
      <c r="N1042" s="203"/>
      <c r="O1042" s="203"/>
      <c r="P1042" s="207" t="s">
        <v>739</v>
      </c>
      <c r="Q1042" s="207" t="s">
        <v>645</v>
      </c>
    </row>
    <row r="1043" spans="1:17" ht="30" customHeight="1" x14ac:dyDescent="0.35">
      <c r="A1043" s="208" t="s">
        <v>1041</v>
      </c>
      <c r="B1043" s="134"/>
      <c r="C1043" s="134"/>
      <c r="D1043" s="134"/>
      <c r="E1043" s="134"/>
      <c r="F1043" s="202"/>
      <c r="G1043" s="203"/>
      <c r="H1043" s="203"/>
      <c r="I1043" s="203"/>
      <c r="J1043" s="203"/>
      <c r="K1043" s="203"/>
      <c r="L1043" s="203"/>
      <c r="M1043" s="203"/>
      <c r="N1043" s="203"/>
      <c r="O1043" s="203"/>
      <c r="P1043" s="207" t="s">
        <v>838</v>
      </c>
      <c r="Q1043" s="207" t="s">
        <v>645</v>
      </c>
    </row>
    <row r="1044" spans="1:17" ht="30" customHeight="1" x14ac:dyDescent="0.35">
      <c r="A1044" s="208" t="s">
        <v>811</v>
      </c>
      <c r="B1044" s="134"/>
      <c r="C1044" s="134"/>
      <c r="D1044" s="134"/>
      <c r="E1044" s="134"/>
      <c r="F1044" s="202"/>
      <c r="G1044" s="203"/>
      <c r="H1044" s="203"/>
      <c r="I1044" s="203"/>
      <c r="J1044" s="203"/>
      <c r="K1044" s="203"/>
      <c r="L1044" s="203"/>
      <c r="M1044" s="203"/>
      <c r="N1044" s="203"/>
      <c r="O1044" s="203"/>
      <c r="P1044" s="207" t="s">
        <v>674</v>
      </c>
      <c r="Q1044" s="207" t="s">
        <v>645</v>
      </c>
    </row>
    <row r="1045" spans="1:17" ht="30" customHeight="1" x14ac:dyDescent="0.35">
      <c r="A1045" s="208" t="s">
        <v>982</v>
      </c>
      <c r="B1045" s="134"/>
      <c r="C1045" s="134"/>
      <c r="D1045" s="134"/>
      <c r="E1045" s="134"/>
      <c r="F1045" s="202"/>
      <c r="G1045" s="203"/>
      <c r="H1045" s="203"/>
      <c r="I1045" s="203"/>
      <c r="J1045" s="203"/>
      <c r="K1045" s="203"/>
      <c r="L1045" s="203"/>
      <c r="M1045" s="203"/>
      <c r="N1045" s="203"/>
      <c r="O1045" s="203"/>
      <c r="P1045" s="207" t="s">
        <v>674</v>
      </c>
      <c r="Q1045" s="207" t="s">
        <v>645</v>
      </c>
    </row>
    <row r="1046" spans="1:17" ht="30" customHeight="1" x14ac:dyDescent="0.35">
      <c r="A1046" s="208" t="s">
        <v>983</v>
      </c>
      <c r="B1046" s="134"/>
      <c r="C1046" s="134"/>
      <c r="D1046" s="134"/>
      <c r="E1046" s="134"/>
      <c r="F1046" s="202"/>
      <c r="G1046" s="203"/>
      <c r="H1046" s="203"/>
      <c r="I1046" s="203"/>
      <c r="J1046" s="203"/>
      <c r="K1046" s="203"/>
      <c r="L1046" s="203"/>
      <c r="M1046" s="203"/>
      <c r="N1046" s="203"/>
      <c r="O1046" s="203"/>
      <c r="P1046" s="207" t="s">
        <v>674</v>
      </c>
      <c r="Q1046" s="207" t="s">
        <v>645</v>
      </c>
    </row>
    <row r="1047" spans="1:17" ht="30" customHeight="1" x14ac:dyDescent="0.35">
      <c r="A1047" s="208" t="s">
        <v>802</v>
      </c>
      <c r="B1047" s="134"/>
      <c r="C1047" s="134"/>
      <c r="D1047" s="134"/>
      <c r="E1047" s="134"/>
      <c r="F1047" s="202"/>
      <c r="G1047" s="203"/>
      <c r="H1047" s="203"/>
      <c r="I1047" s="203"/>
      <c r="J1047" s="203"/>
      <c r="K1047" s="203"/>
      <c r="L1047" s="203"/>
      <c r="M1047" s="203"/>
      <c r="N1047" s="203"/>
      <c r="O1047" s="203"/>
      <c r="P1047" s="207" t="s">
        <v>739</v>
      </c>
      <c r="Q1047" s="207" t="s">
        <v>645</v>
      </c>
    </row>
    <row r="1048" spans="1:17" ht="30" customHeight="1" x14ac:dyDescent="0.35">
      <c r="A1048" s="208" t="s">
        <v>984</v>
      </c>
      <c r="B1048" s="134"/>
      <c r="C1048" s="134"/>
      <c r="D1048" s="134"/>
      <c r="E1048" s="134"/>
      <c r="F1048" s="202"/>
      <c r="G1048" s="203"/>
      <c r="H1048" s="203"/>
      <c r="I1048" s="203"/>
      <c r="J1048" s="203"/>
      <c r="K1048" s="203"/>
      <c r="L1048" s="203"/>
      <c r="M1048" s="203"/>
      <c r="N1048" s="203"/>
      <c r="O1048" s="203"/>
      <c r="P1048" s="207" t="s">
        <v>674</v>
      </c>
      <c r="Q1048" s="207" t="s">
        <v>645</v>
      </c>
    </row>
    <row r="1049" spans="1:17" ht="30" customHeight="1" x14ac:dyDescent="0.35">
      <c r="A1049" s="208" t="s">
        <v>1042</v>
      </c>
      <c r="B1049" s="134"/>
      <c r="C1049" s="134"/>
      <c r="D1049" s="134"/>
      <c r="E1049" s="134"/>
      <c r="F1049" s="202"/>
      <c r="G1049" s="203"/>
      <c r="H1049" s="203"/>
      <c r="I1049" s="203"/>
      <c r="J1049" s="203"/>
      <c r="K1049" s="203"/>
      <c r="L1049" s="203"/>
      <c r="M1049" s="203"/>
      <c r="N1049" s="203"/>
      <c r="O1049" s="203"/>
      <c r="P1049" s="207" t="s">
        <v>838</v>
      </c>
      <c r="Q1049" s="207" t="s">
        <v>645</v>
      </c>
    </row>
    <row r="1050" spans="1:17" ht="30" customHeight="1" x14ac:dyDescent="0.35">
      <c r="A1050" s="208" t="s">
        <v>823</v>
      </c>
      <c r="B1050" s="134"/>
      <c r="C1050" s="134"/>
      <c r="D1050" s="134"/>
      <c r="E1050" s="134"/>
      <c r="F1050" s="202"/>
      <c r="G1050" s="203"/>
      <c r="H1050" s="203"/>
      <c r="I1050" s="203"/>
      <c r="J1050" s="203"/>
      <c r="K1050" s="203"/>
      <c r="L1050" s="203"/>
      <c r="M1050" s="203"/>
      <c r="N1050" s="203"/>
      <c r="O1050" s="203"/>
      <c r="P1050" s="207" t="s">
        <v>674</v>
      </c>
      <c r="Q1050" s="207" t="s">
        <v>645</v>
      </c>
    </row>
    <row r="1051" spans="1:17" ht="30" customHeight="1" x14ac:dyDescent="0.35">
      <c r="A1051" s="208" t="s">
        <v>825</v>
      </c>
      <c r="B1051" s="134"/>
      <c r="C1051" s="134"/>
      <c r="D1051" s="134"/>
      <c r="E1051" s="134"/>
      <c r="F1051" s="202"/>
      <c r="G1051" s="203"/>
      <c r="H1051" s="203"/>
      <c r="I1051" s="203"/>
      <c r="J1051" s="203"/>
      <c r="K1051" s="203"/>
      <c r="L1051" s="203"/>
      <c r="M1051" s="203"/>
      <c r="N1051" s="203"/>
      <c r="O1051" s="203"/>
      <c r="P1051" s="207" t="s">
        <v>674</v>
      </c>
      <c r="Q1051" s="207" t="s">
        <v>645</v>
      </c>
    </row>
    <row r="1052" spans="1:17" ht="30" customHeight="1" x14ac:dyDescent="0.35">
      <c r="A1052" s="208" t="s">
        <v>1038</v>
      </c>
      <c r="B1052" s="134"/>
      <c r="C1052" s="134"/>
      <c r="D1052" s="134"/>
      <c r="E1052" s="134"/>
      <c r="F1052" s="202"/>
      <c r="G1052" s="203"/>
      <c r="H1052" s="203"/>
      <c r="I1052" s="203"/>
      <c r="J1052" s="203"/>
      <c r="K1052" s="203"/>
      <c r="L1052" s="203"/>
      <c r="M1052" s="203"/>
      <c r="N1052" s="203"/>
      <c r="O1052" s="203"/>
      <c r="P1052" s="207" t="s">
        <v>674</v>
      </c>
      <c r="Q1052" s="207" t="s">
        <v>645</v>
      </c>
    </row>
    <row r="1053" spans="1:17" ht="30" customHeight="1" x14ac:dyDescent="0.35">
      <c r="A1053" s="208" t="s">
        <v>832</v>
      </c>
      <c r="B1053" s="134"/>
      <c r="C1053" s="134"/>
      <c r="D1053" s="134"/>
      <c r="E1053" s="134"/>
      <c r="F1053" s="202"/>
      <c r="G1053" s="203"/>
      <c r="H1053" s="203"/>
      <c r="I1053" s="203"/>
      <c r="J1053" s="203"/>
      <c r="K1053" s="203"/>
      <c r="L1053" s="203"/>
      <c r="M1053" s="203"/>
      <c r="N1053" s="203"/>
      <c r="O1053" s="203"/>
      <c r="P1053" s="207" t="s">
        <v>674</v>
      </c>
      <c r="Q1053" s="207" t="s">
        <v>645</v>
      </c>
    </row>
    <row r="1054" spans="1:17" ht="30" customHeight="1" x14ac:dyDescent="0.35">
      <c r="A1054" s="208" t="s">
        <v>824</v>
      </c>
      <c r="B1054" s="134"/>
      <c r="C1054" s="134"/>
      <c r="D1054" s="134"/>
      <c r="E1054" s="134"/>
      <c r="F1054" s="202"/>
      <c r="G1054" s="203"/>
      <c r="H1054" s="203"/>
      <c r="I1054" s="203"/>
      <c r="J1054" s="203"/>
      <c r="K1054" s="203"/>
      <c r="L1054" s="203"/>
      <c r="M1054" s="203"/>
      <c r="N1054" s="203"/>
      <c r="O1054" s="203"/>
      <c r="P1054" s="207" t="s">
        <v>674</v>
      </c>
      <c r="Q1054" s="207" t="s">
        <v>645</v>
      </c>
    </row>
    <row r="1055" spans="1:17" ht="30" customHeight="1" x14ac:dyDescent="0.35">
      <c r="A1055" s="208" t="s">
        <v>826</v>
      </c>
      <c r="B1055" s="134"/>
      <c r="C1055" s="134"/>
      <c r="D1055" s="134"/>
      <c r="E1055" s="134"/>
      <c r="F1055" s="202"/>
      <c r="G1055" s="203"/>
      <c r="H1055" s="203"/>
      <c r="I1055" s="203"/>
      <c r="J1055" s="203"/>
      <c r="K1055" s="203"/>
      <c r="L1055" s="203"/>
      <c r="M1055" s="203"/>
      <c r="N1055" s="203"/>
      <c r="O1055" s="203"/>
      <c r="P1055" s="207" t="s">
        <v>674</v>
      </c>
      <c r="Q1055" s="207" t="s">
        <v>645</v>
      </c>
    </row>
    <row r="1056" spans="1:17" ht="30" customHeight="1" x14ac:dyDescent="0.35">
      <c r="A1056" s="208" t="s">
        <v>833</v>
      </c>
      <c r="B1056" s="134"/>
      <c r="C1056" s="134"/>
      <c r="D1056" s="134"/>
      <c r="E1056" s="134"/>
      <c r="F1056" s="202"/>
      <c r="G1056" s="203"/>
      <c r="H1056" s="203"/>
      <c r="I1056" s="203"/>
      <c r="J1056" s="203"/>
      <c r="K1056" s="203"/>
      <c r="L1056" s="203"/>
      <c r="M1056" s="203"/>
      <c r="N1056" s="203"/>
      <c r="O1056" s="203"/>
      <c r="P1056" s="207" t="s">
        <v>674</v>
      </c>
      <c r="Q1056" s="207" t="s">
        <v>645</v>
      </c>
    </row>
    <row r="1057" spans="1:17" ht="30" customHeight="1" x14ac:dyDescent="0.35">
      <c r="A1057" s="208" t="s">
        <v>985</v>
      </c>
      <c r="B1057" s="134"/>
      <c r="C1057" s="134"/>
      <c r="D1057" s="134"/>
      <c r="E1057" s="134"/>
      <c r="F1057" s="202"/>
      <c r="G1057" s="203"/>
      <c r="H1057" s="203"/>
      <c r="I1057" s="203"/>
      <c r="J1057" s="203"/>
      <c r="K1057" s="203"/>
      <c r="L1057" s="203"/>
      <c r="M1057" s="203"/>
      <c r="N1057" s="203"/>
      <c r="O1057" s="203"/>
      <c r="P1057" s="207" t="s">
        <v>674</v>
      </c>
      <c r="Q1057" s="207" t="s">
        <v>645</v>
      </c>
    </row>
    <row r="1058" spans="1:17" ht="30" customHeight="1" x14ac:dyDescent="0.35">
      <c r="A1058" s="208" t="s">
        <v>986</v>
      </c>
      <c r="B1058" s="134"/>
      <c r="C1058" s="134"/>
      <c r="D1058" s="134"/>
      <c r="E1058" s="134"/>
      <c r="F1058" s="202"/>
      <c r="G1058" s="203"/>
      <c r="H1058" s="203"/>
      <c r="I1058" s="203"/>
      <c r="J1058" s="203"/>
      <c r="K1058" s="203"/>
      <c r="L1058" s="203"/>
      <c r="M1058" s="203"/>
      <c r="N1058" s="203"/>
      <c r="O1058" s="203"/>
      <c r="P1058" s="207" t="s">
        <v>674</v>
      </c>
      <c r="Q1058" s="207" t="s">
        <v>645</v>
      </c>
    </row>
    <row r="1059" spans="1:17" ht="30" customHeight="1" x14ac:dyDescent="0.35">
      <c r="A1059" s="208" t="s">
        <v>795</v>
      </c>
      <c r="B1059" s="134"/>
      <c r="C1059" s="134"/>
      <c r="D1059" s="134"/>
      <c r="E1059" s="134"/>
      <c r="F1059" s="202"/>
      <c r="G1059" s="203"/>
      <c r="H1059" s="203"/>
      <c r="I1059" s="203"/>
      <c r="J1059" s="203"/>
      <c r="K1059" s="203"/>
      <c r="L1059" s="203"/>
      <c r="M1059" s="203"/>
      <c r="N1059" s="203"/>
      <c r="O1059" s="203"/>
      <c r="P1059" s="207" t="s">
        <v>739</v>
      </c>
      <c r="Q1059" s="207" t="s">
        <v>645</v>
      </c>
    </row>
    <row r="1060" spans="1:17" ht="30" customHeight="1" x14ac:dyDescent="0.35">
      <c r="A1060" s="208" t="s">
        <v>987</v>
      </c>
      <c r="B1060" s="134"/>
      <c r="C1060" s="134"/>
      <c r="D1060" s="134"/>
      <c r="E1060" s="134"/>
      <c r="F1060" s="202"/>
      <c r="G1060" s="203"/>
      <c r="H1060" s="203"/>
      <c r="I1060" s="203"/>
      <c r="J1060" s="203"/>
      <c r="K1060" s="203"/>
      <c r="L1060" s="203"/>
      <c r="M1060" s="203"/>
      <c r="N1060" s="203"/>
      <c r="O1060" s="203"/>
      <c r="P1060" s="207" t="s">
        <v>674</v>
      </c>
      <c r="Q1060" s="207" t="s">
        <v>645</v>
      </c>
    </row>
    <row r="1061" spans="1:17" ht="30" customHeight="1" x14ac:dyDescent="0.35">
      <c r="A1061" s="208" t="s">
        <v>988</v>
      </c>
      <c r="B1061" s="134"/>
      <c r="C1061" s="134"/>
      <c r="D1061" s="134"/>
      <c r="E1061" s="134"/>
      <c r="F1061" s="202"/>
      <c r="G1061" s="203"/>
      <c r="H1061" s="203"/>
      <c r="I1061" s="203"/>
      <c r="J1061" s="203"/>
      <c r="K1061" s="203"/>
      <c r="L1061" s="203"/>
      <c r="M1061" s="203"/>
      <c r="N1061" s="203"/>
      <c r="O1061" s="203"/>
      <c r="P1061" s="207" t="s">
        <v>674</v>
      </c>
      <c r="Q1061" s="207" t="s">
        <v>645</v>
      </c>
    </row>
    <row r="1062" spans="1:17" ht="30" customHeight="1" x14ac:dyDescent="0.35">
      <c r="A1062" s="208" t="s">
        <v>834</v>
      </c>
      <c r="B1062" s="134"/>
      <c r="C1062" s="134"/>
      <c r="D1062" s="134"/>
      <c r="E1062" s="134"/>
      <c r="F1062" s="202"/>
      <c r="G1062" s="203"/>
      <c r="H1062" s="203"/>
      <c r="I1062" s="203"/>
      <c r="J1062" s="203"/>
      <c r="K1062" s="203"/>
      <c r="L1062" s="203"/>
      <c r="M1062" s="203"/>
      <c r="N1062" s="203"/>
      <c r="O1062" s="203"/>
      <c r="P1062" s="207" t="s">
        <v>674</v>
      </c>
      <c r="Q1062" s="207" t="s">
        <v>645</v>
      </c>
    </row>
    <row r="1063" spans="1:17" ht="30" customHeight="1" x14ac:dyDescent="0.35">
      <c r="A1063" s="208" t="s">
        <v>796</v>
      </c>
      <c r="B1063" s="134"/>
      <c r="C1063" s="134"/>
      <c r="D1063" s="134"/>
      <c r="E1063" s="134"/>
      <c r="F1063" s="202"/>
      <c r="G1063" s="203"/>
      <c r="H1063" s="203"/>
      <c r="I1063" s="203"/>
      <c r="J1063" s="203"/>
      <c r="K1063" s="203"/>
      <c r="L1063" s="203"/>
      <c r="M1063" s="203"/>
      <c r="N1063" s="203"/>
      <c r="O1063" s="203"/>
      <c r="P1063" s="207" t="s">
        <v>739</v>
      </c>
      <c r="Q1063" s="207" t="s">
        <v>645</v>
      </c>
    </row>
    <row r="1064" spans="1:17" ht="30" customHeight="1" x14ac:dyDescent="0.35">
      <c r="A1064" s="208" t="s">
        <v>843</v>
      </c>
      <c r="B1064" s="134"/>
      <c r="C1064" s="134"/>
      <c r="D1064" s="134"/>
      <c r="E1064" s="134"/>
      <c r="F1064" s="202"/>
      <c r="G1064" s="203"/>
      <c r="H1064" s="203"/>
      <c r="I1064" s="203"/>
      <c r="J1064" s="203"/>
      <c r="K1064" s="203"/>
      <c r="L1064" s="203"/>
      <c r="M1064" s="203"/>
      <c r="N1064" s="203"/>
      <c r="O1064" s="203"/>
      <c r="P1064" s="207" t="s">
        <v>674</v>
      </c>
      <c r="Q1064" s="207" t="s">
        <v>645</v>
      </c>
    </row>
    <row r="1065" spans="1:17" ht="30" customHeight="1" x14ac:dyDescent="0.35">
      <c r="A1065" s="208" t="s">
        <v>844</v>
      </c>
      <c r="B1065" s="134"/>
      <c r="C1065" s="134"/>
      <c r="D1065" s="134"/>
      <c r="E1065" s="134"/>
      <c r="F1065" s="202"/>
      <c r="G1065" s="203"/>
      <c r="H1065" s="203"/>
      <c r="I1065" s="203"/>
      <c r="J1065" s="203"/>
      <c r="K1065" s="203"/>
      <c r="L1065" s="203"/>
      <c r="M1065" s="203"/>
      <c r="N1065" s="203"/>
      <c r="O1065" s="203"/>
      <c r="P1065" s="207" t="s">
        <v>739</v>
      </c>
      <c r="Q1065" s="207" t="s">
        <v>645</v>
      </c>
    </row>
    <row r="1066" spans="1:17" ht="30" customHeight="1" x14ac:dyDescent="0.35">
      <c r="A1066" s="208" t="s">
        <v>845</v>
      </c>
      <c r="B1066" s="134"/>
      <c r="C1066" s="134"/>
      <c r="D1066" s="134"/>
      <c r="E1066" s="134"/>
      <c r="F1066" s="202"/>
      <c r="G1066" s="203"/>
      <c r="H1066" s="203"/>
      <c r="I1066" s="203"/>
      <c r="J1066" s="203"/>
      <c r="K1066" s="203"/>
      <c r="L1066" s="203"/>
      <c r="M1066" s="203"/>
      <c r="N1066" s="203"/>
      <c r="O1066" s="203"/>
      <c r="P1066" s="207" t="s">
        <v>674</v>
      </c>
      <c r="Q1066" s="207" t="s">
        <v>645</v>
      </c>
    </row>
    <row r="1067" spans="1:17" ht="30" customHeight="1" x14ac:dyDescent="0.35">
      <c r="A1067" s="208" t="s">
        <v>846</v>
      </c>
      <c r="B1067" s="134"/>
      <c r="C1067" s="134"/>
      <c r="D1067" s="134"/>
      <c r="E1067" s="134"/>
      <c r="F1067" s="202"/>
      <c r="G1067" s="203"/>
      <c r="H1067" s="203"/>
      <c r="I1067" s="203"/>
      <c r="J1067" s="203"/>
      <c r="K1067" s="203"/>
      <c r="L1067" s="203"/>
      <c r="M1067" s="203"/>
      <c r="N1067" s="203"/>
      <c r="O1067" s="203"/>
      <c r="P1067" s="207" t="s">
        <v>674</v>
      </c>
      <c r="Q1067" s="207" t="s">
        <v>645</v>
      </c>
    </row>
    <row r="1068" spans="1:17" ht="30" customHeight="1" x14ac:dyDescent="0.35">
      <c r="A1068" s="208" t="s">
        <v>797</v>
      </c>
      <c r="B1068" s="134"/>
      <c r="C1068" s="134"/>
      <c r="D1068" s="134"/>
      <c r="E1068" s="134"/>
      <c r="F1068" s="202"/>
      <c r="G1068" s="203"/>
      <c r="H1068" s="203"/>
      <c r="I1068" s="203"/>
      <c r="J1068" s="203"/>
      <c r="K1068" s="203"/>
      <c r="L1068" s="203"/>
      <c r="M1068" s="203"/>
      <c r="N1068" s="203"/>
      <c r="O1068" s="203"/>
      <c r="P1068" s="207" t="s">
        <v>739</v>
      </c>
      <c r="Q1068" s="207" t="s">
        <v>645</v>
      </c>
    </row>
    <row r="1069" spans="1:17" ht="30" customHeight="1" x14ac:dyDescent="0.35">
      <c r="A1069" s="208" t="s">
        <v>847</v>
      </c>
      <c r="B1069" s="134"/>
      <c r="C1069" s="134"/>
      <c r="D1069" s="134"/>
      <c r="E1069" s="134"/>
      <c r="F1069" s="202"/>
      <c r="G1069" s="203"/>
      <c r="H1069" s="203"/>
      <c r="I1069" s="203"/>
      <c r="J1069" s="203"/>
      <c r="K1069" s="203"/>
      <c r="L1069" s="203"/>
      <c r="M1069" s="203"/>
      <c r="N1069" s="203"/>
      <c r="O1069" s="203"/>
      <c r="P1069" s="207" t="s">
        <v>674</v>
      </c>
      <c r="Q1069" s="207" t="s">
        <v>645</v>
      </c>
    </row>
    <row r="1070" spans="1:17" ht="30" customHeight="1" x14ac:dyDescent="0.35">
      <c r="A1070" s="208" t="s">
        <v>848</v>
      </c>
      <c r="B1070" s="134"/>
      <c r="C1070" s="134"/>
      <c r="D1070" s="134"/>
      <c r="E1070" s="134"/>
      <c r="F1070" s="202"/>
      <c r="G1070" s="203"/>
      <c r="H1070" s="203"/>
      <c r="I1070" s="203"/>
      <c r="J1070" s="203"/>
      <c r="K1070" s="203"/>
      <c r="L1070" s="203"/>
      <c r="M1070" s="203"/>
      <c r="N1070" s="203"/>
      <c r="O1070" s="203"/>
      <c r="P1070" s="207" t="s">
        <v>674</v>
      </c>
      <c r="Q1070" s="207" t="s">
        <v>645</v>
      </c>
    </row>
    <row r="1071" spans="1:17" ht="30" customHeight="1" x14ac:dyDescent="0.35">
      <c r="A1071" s="208" t="s">
        <v>989</v>
      </c>
      <c r="B1071" s="134"/>
      <c r="C1071" s="134"/>
      <c r="D1071" s="134"/>
      <c r="E1071" s="134"/>
      <c r="F1071" s="202"/>
      <c r="G1071" s="203"/>
      <c r="H1071" s="203"/>
      <c r="I1071" s="203"/>
      <c r="J1071" s="203"/>
      <c r="K1071" s="203"/>
      <c r="L1071" s="203"/>
      <c r="M1071" s="203"/>
      <c r="N1071" s="203"/>
      <c r="O1071" s="203"/>
      <c r="P1071" s="207" t="s">
        <v>674</v>
      </c>
      <c r="Q1071" s="207" t="s">
        <v>645</v>
      </c>
    </row>
    <row r="1072" spans="1:17" ht="30" customHeight="1" x14ac:dyDescent="0.35">
      <c r="A1072" s="208" t="s">
        <v>990</v>
      </c>
      <c r="B1072" s="134"/>
      <c r="C1072" s="134"/>
      <c r="D1072" s="134"/>
      <c r="E1072" s="134"/>
      <c r="F1072" s="202"/>
      <c r="G1072" s="203"/>
      <c r="H1072" s="203"/>
      <c r="I1072" s="203"/>
      <c r="J1072" s="203"/>
      <c r="K1072" s="203"/>
      <c r="L1072" s="203"/>
      <c r="M1072" s="203"/>
      <c r="N1072" s="203"/>
      <c r="O1072" s="203"/>
      <c r="P1072" s="207" t="s">
        <v>674</v>
      </c>
      <c r="Q1072" s="207" t="s">
        <v>645</v>
      </c>
    </row>
    <row r="1073" spans="1:17" ht="30" customHeight="1" x14ac:dyDescent="0.35">
      <c r="A1073" s="208" t="s">
        <v>1061</v>
      </c>
      <c r="B1073" s="134"/>
      <c r="C1073" s="134"/>
      <c r="D1073" s="134"/>
      <c r="E1073" s="134"/>
      <c r="F1073" s="202"/>
      <c r="G1073" s="203"/>
      <c r="H1073" s="203"/>
      <c r="I1073" s="203"/>
      <c r="J1073" s="203"/>
      <c r="K1073" s="203"/>
      <c r="L1073" s="203"/>
      <c r="M1073" s="203"/>
      <c r="N1073" s="203"/>
      <c r="O1073" s="203"/>
      <c r="P1073" s="207" t="s">
        <v>739</v>
      </c>
      <c r="Q1073" s="207" t="s">
        <v>645</v>
      </c>
    </row>
    <row r="1074" spans="1:17" ht="30" customHeight="1" x14ac:dyDescent="0.35">
      <c r="A1074" s="208" t="s">
        <v>812</v>
      </c>
      <c r="B1074" s="134"/>
      <c r="C1074" s="134"/>
      <c r="D1074" s="134"/>
      <c r="E1074" s="134"/>
      <c r="F1074" s="202"/>
      <c r="G1074" s="203"/>
      <c r="H1074" s="203"/>
      <c r="I1074" s="203"/>
      <c r="J1074" s="203"/>
      <c r="K1074" s="203"/>
      <c r="L1074" s="203"/>
      <c r="M1074" s="203"/>
      <c r="N1074" s="203"/>
      <c r="O1074" s="203"/>
      <c r="P1074" s="207" t="s">
        <v>674</v>
      </c>
      <c r="Q1074" s="207" t="s">
        <v>645</v>
      </c>
    </row>
    <row r="1075" spans="1:17" ht="30" customHeight="1" x14ac:dyDescent="0.35">
      <c r="A1075" s="208" t="s">
        <v>818</v>
      </c>
      <c r="B1075" s="134"/>
      <c r="C1075" s="134"/>
      <c r="D1075" s="134"/>
      <c r="E1075" s="134"/>
      <c r="F1075" s="202"/>
      <c r="G1075" s="203"/>
      <c r="H1075" s="203"/>
      <c r="I1075" s="203"/>
      <c r="J1075" s="203"/>
      <c r="K1075" s="203"/>
      <c r="L1075" s="203"/>
      <c r="M1075" s="203"/>
      <c r="N1075" s="203"/>
      <c r="O1075" s="203"/>
      <c r="P1075" s="207" t="s">
        <v>674</v>
      </c>
      <c r="Q1075" s="207" t="s">
        <v>645</v>
      </c>
    </row>
    <row r="1076" spans="1:17" ht="30" customHeight="1" x14ac:dyDescent="0.35">
      <c r="A1076" s="208" t="s">
        <v>991</v>
      </c>
      <c r="B1076" s="134"/>
      <c r="C1076" s="134"/>
      <c r="D1076" s="134"/>
      <c r="E1076" s="134"/>
      <c r="F1076" s="202"/>
      <c r="G1076" s="203"/>
      <c r="H1076" s="203"/>
      <c r="I1076" s="203"/>
      <c r="J1076" s="203"/>
      <c r="K1076" s="203"/>
      <c r="L1076" s="203"/>
      <c r="M1076" s="203"/>
      <c r="N1076" s="203"/>
      <c r="O1076" s="203"/>
      <c r="P1076" s="207" t="s">
        <v>674</v>
      </c>
      <c r="Q1076" s="207" t="s">
        <v>645</v>
      </c>
    </row>
    <row r="1077" spans="1:17" ht="30" customHeight="1" x14ac:dyDescent="0.35">
      <c r="A1077" s="208" t="s">
        <v>992</v>
      </c>
      <c r="B1077" s="134"/>
      <c r="C1077" s="134"/>
      <c r="D1077" s="134"/>
      <c r="E1077" s="134"/>
      <c r="F1077" s="202"/>
      <c r="G1077" s="203"/>
      <c r="H1077" s="203"/>
      <c r="I1077" s="203"/>
      <c r="J1077" s="203"/>
      <c r="K1077" s="203"/>
      <c r="L1077" s="203"/>
      <c r="M1077" s="203"/>
      <c r="N1077" s="203"/>
      <c r="O1077" s="203"/>
      <c r="P1077" s="207" t="s">
        <v>674</v>
      </c>
      <c r="Q1077" s="207" t="s">
        <v>645</v>
      </c>
    </row>
    <row r="1078" spans="1:17" ht="30" customHeight="1" x14ac:dyDescent="0.35">
      <c r="A1078" s="208" t="s">
        <v>993</v>
      </c>
      <c r="B1078" s="134"/>
      <c r="C1078" s="134"/>
      <c r="D1078" s="134"/>
      <c r="E1078" s="134"/>
      <c r="F1078" s="202"/>
      <c r="G1078" s="203"/>
      <c r="H1078" s="203"/>
      <c r="I1078" s="203"/>
      <c r="J1078" s="203"/>
      <c r="K1078" s="203"/>
      <c r="L1078" s="203"/>
      <c r="M1078" s="203"/>
      <c r="N1078" s="203"/>
      <c r="O1078" s="203"/>
      <c r="P1078" s="207" t="s">
        <v>739</v>
      </c>
      <c r="Q1078" s="207" t="s">
        <v>645</v>
      </c>
    </row>
    <row r="1079" spans="1:17" ht="30" customHeight="1" x14ac:dyDescent="0.35">
      <c r="A1079" s="208" t="s">
        <v>994</v>
      </c>
      <c r="B1079" s="134"/>
      <c r="C1079" s="134"/>
      <c r="D1079" s="134"/>
      <c r="E1079" s="134"/>
      <c r="F1079" s="202"/>
      <c r="G1079" s="203"/>
      <c r="H1079" s="203"/>
      <c r="I1079" s="203"/>
      <c r="J1079" s="203"/>
      <c r="K1079" s="203"/>
      <c r="L1079" s="203"/>
      <c r="M1079" s="203"/>
      <c r="N1079" s="203"/>
      <c r="O1079" s="203"/>
      <c r="P1079" s="207" t="s">
        <v>674</v>
      </c>
      <c r="Q1079" s="207" t="s">
        <v>645</v>
      </c>
    </row>
    <row r="1080" spans="1:17" ht="30" customHeight="1" x14ac:dyDescent="0.35">
      <c r="A1080" s="208" t="s">
        <v>995</v>
      </c>
      <c r="B1080" s="134"/>
      <c r="C1080" s="134"/>
      <c r="D1080" s="134"/>
      <c r="E1080" s="134"/>
      <c r="F1080" s="202"/>
      <c r="G1080" s="203"/>
      <c r="H1080" s="203"/>
      <c r="I1080" s="203"/>
      <c r="J1080" s="203"/>
      <c r="K1080" s="203"/>
      <c r="L1080" s="203"/>
      <c r="M1080" s="203"/>
      <c r="N1080" s="203"/>
      <c r="O1080" s="203"/>
      <c r="P1080" s="207" t="s">
        <v>674</v>
      </c>
      <c r="Q1080" s="207" t="s">
        <v>645</v>
      </c>
    </row>
    <row r="1081" spans="1:17" ht="30" customHeight="1" x14ac:dyDescent="0.35">
      <c r="A1081" s="208" t="s">
        <v>827</v>
      </c>
      <c r="B1081" s="134"/>
      <c r="C1081" s="134"/>
      <c r="D1081" s="134"/>
      <c r="E1081" s="134"/>
      <c r="F1081" s="202"/>
      <c r="G1081" s="203"/>
      <c r="H1081" s="203"/>
      <c r="I1081" s="203"/>
      <c r="J1081" s="203"/>
      <c r="K1081" s="203"/>
      <c r="L1081" s="203"/>
      <c r="M1081" s="203"/>
      <c r="N1081" s="203"/>
      <c r="O1081" s="203"/>
      <c r="P1081" s="207" t="s">
        <v>674</v>
      </c>
      <c r="Q1081" s="207" t="s">
        <v>645</v>
      </c>
    </row>
    <row r="1082" spans="1:17" ht="30" customHeight="1" x14ac:dyDescent="0.35">
      <c r="A1082" s="208" t="s">
        <v>996</v>
      </c>
      <c r="B1082" s="134"/>
      <c r="C1082" s="134"/>
      <c r="D1082" s="134"/>
      <c r="E1082" s="134"/>
      <c r="F1082" s="202"/>
      <c r="G1082" s="203"/>
      <c r="H1082" s="203"/>
      <c r="I1082" s="203"/>
      <c r="J1082" s="203"/>
      <c r="K1082" s="203"/>
      <c r="L1082" s="203"/>
      <c r="M1082" s="203"/>
      <c r="N1082" s="203"/>
      <c r="O1082" s="203"/>
      <c r="P1082" s="207" t="s">
        <v>674</v>
      </c>
      <c r="Q1082" s="207" t="s">
        <v>645</v>
      </c>
    </row>
    <row r="1083" spans="1:17" ht="30" customHeight="1" x14ac:dyDescent="0.35">
      <c r="A1083" s="208" t="s">
        <v>997</v>
      </c>
      <c r="B1083" s="134"/>
      <c r="C1083" s="134"/>
      <c r="D1083" s="134"/>
      <c r="E1083" s="134"/>
      <c r="F1083" s="202"/>
      <c r="G1083" s="203"/>
      <c r="H1083" s="203"/>
      <c r="I1083" s="203"/>
      <c r="J1083" s="203"/>
      <c r="K1083" s="203"/>
      <c r="L1083" s="203"/>
      <c r="M1083" s="203"/>
      <c r="N1083" s="203"/>
      <c r="O1083" s="203"/>
      <c r="P1083" s="207" t="s">
        <v>674</v>
      </c>
      <c r="Q1083" s="207" t="s">
        <v>645</v>
      </c>
    </row>
    <row r="1084" spans="1:17" ht="30" customHeight="1" x14ac:dyDescent="0.35">
      <c r="A1084" s="208" t="s">
        <v>998</v>
      </c>
      <c r="B1084" s="134"/>
      <c r="C1084" s="134"/>
      <c r="D1084" s="134"/>
      <c r="E1084" s="134"/>
      <c r="F1084" s="202"/>
      <c r="G1084" s="203"/>
      <c r="H1084" s="203"/>
      <c r="I1084" s="203"/>
      <c r="J1084" s="203"/>
      <c r="K1084" s="203"/>
      <c r="L1084" s="203"/>
      <c r="M1084" s="203"/>
      <c r="N1084" s="203"/>
      <c r="O1084" s="203"/>
      <c r="P1084" s="207" t="s">
        <v>674</v>
      </c>
      <c r="Q1084" s="207" t="s">
        <v>645</v>
      </c>
    </row>
    <row r="1085" spans="1:17" ht="30" customHeight="1" x14ac:dyDescent="0.35">
      <c r="A1085" s="208" t="s">
        <v>1062</v>
      </c>
      <c r="B1085" s="134"/>
      <c r="C1085" s="134"/>
      <c r="D1085" s="134"/>
      <c r="E1085" s="134"/>
      <c r="F1085" s="202"/>
      <c r="G1085" s="203"/>
      <c r="H1085" s="203"/>
      <c r="I1085" s="203"/>
      <c r="J1085" s="203"/>
      <c r="K1085" s="203"/>
      <c r="L1085" s="203"/>
      <c r="M1085" s="203"/>
      <c r="N1085" s="203"/>
      <c r="O1085" s="203"/>
      <c r="P1085" s="207" t="s">
        <v>739</v>
      </c>
      <c r="Q1085" s="207" t="s">
        <v>645</v>
      </c>
    </row>
    <row r="1086" spans="1:17" ht="30" customHeight="1" x14ac:dyDescent="0.35">
      <c r="A1086" s="208" t="s">
        <v>1076</v>
      </c>
      <c r="B1086" s="134"/>
      <c r="C1086" s="134"/>
      <c r="D1086" s="134"/>
      <c r="E1086" s="134"/>
      <c r="F1086" s="202"/>
      <c r="G1086" s="203"/>
      <c r="H1086" s="203"/>
      <c r="I1086" s="203"/>
      <c r="J1086" s="203"/>
      <c r="K1086" s="203"/>
      <c r="L1086" s="203"/>
      <c r="M1086" s="203"/>
      <c r="N1086" s="203"/>
      <c r="O1086" s="203"/>
      <c r="P1086" s="207" t="s">
        <v>674</v>
      </c>
      <c r="Q1086" s="207" t="s">
        <v>645</v>
      </c>
    </row>
    <row r="1087" spans="1:17" ht="30" customHeight="1" x14ac:dyDescent="0.35">
      <c r="A1087" s="208" t="s">
        <v>999</v>
      </c>
      <c r="B1087" s="134"/>
      <c r="C1087" s="134"/>
      <c r="D1087" s="134"/>
      <c r="E1087" s="134"/>
      <c r="F1087" s="202"/>
      <c r="G1087" s="203"/>
      <c r="H1087" s="203"/>
      <c r="I1087" s="203"/>
      <c r="J1087" s="203"/>
      <c r="K1087" s="203"/>
      <c r="L1087" s="203"/>
      <c r="M1087" s="203"/>
      <c r="N1087" s="203"/>
      <c r="O1087" s="203"/>
      <c r="P1087" s="207" t="s">
        <v>674</v>
      </c>
      <c r="Q1087" s="207" t="s">
        <v>645</v>
      </c>
    </row>
    <row r="1088" spans="1:17" ht="30" customHeight="1" x14ac:dyDescent="0.35">
      <c r="A1088" s="208" t="s">
        <v>1035</v>
      </c>
      <c r="B1088" s="134"/>
      <c r="C1088" s="134"/>
      <c r="D1088" s="134"/>
      <c r="E1088" s="134"/>
      <c r="F1088" s="202"/>
      <c r="G1088" s="203"/>
      <c r="H1088" s="203"/>
      <c r="I1088" s="203"/>
      <c r="J1088" s="203"/>
      <c r="K1088" s="203"/>
      <c r="L1088" s="203"/>
      <c r="M1088" s="203"/>
      <c r="N1088" s="203"/>
      <c r="O1088" s="203"/>
      <c r="P1088" s="207" t="s">
        <v>838</v>
      </c>
      <c r="Q1088" s="207" t="s">
        <v>645</v>
      </c>
    </row>
    <row r="1089" spans="1:17" ht="30" customHeight="1" x14ac:dyDescent="0.35">
      <c r="A1089" s="208" t="s">
        <v>819</v>
      </c>
      <c r="B1089" s="134"/>
      <c r="C1089" s="134"/>
      <c r="D1089" s="134"/>
      <c r="E1089" s="134"/>
      <c r="F1089" s="202"/>
      <c r="G1089" s="203"/>
      <c r="H1089" s="203"/>
      <c r="I1089" s="203"/>
      <c r="J1089" s="203"/>
      <c r="K1089" s="203"/>
      <c r="L1089" s="203"/>
      <c r="M1089" s="203"/>
      <c r="N1089" s="203"/>
      <c r="O1089" s="203"/>
      <c r="P1089" s="207" t="s">
        <v>674</v>
      </c>
      <c r="Q1089" s="207" t="s">
        <v>645</v>
      </c>
    </row>
    <row r="1090" spans="1:17" ht="30" customHeight="1" x14ac:dyDescent="0.35">
      <c r="A1090" s="208" t="s">
        <v>1000</v>
      </c>
      <c r="B1090" s="134"/>
      <c r="C1090" s="134"/>
      <c r="D1090" s="134"/>
      <c r="E1090" s="134"/>
      <c r="F1090" s="202"/>
      <c r="G1090" s="203"/>
      <c r="H1090" s="203"/>
      <c r="I1090" s="203"/>
      <c r="J1090" s="203"/>
      <c r="K1090" s="203"/>
      <c r="L1090" s="203"/>
      <c r="M1090" s="203"/>
      <c r="N1090" s="203"/>
      <c r="O1090" s="203"/>
      <c r="P1090" s="207" t="s">
        <v>674</v>
      </c>
      <c r="Q1090" s="207" t="s">
        <v>645</v>
      </c>
    </row>
    <row r="1091" spans="1:17" ht="30" customHeight="1" x14ac:dyDescent="0.35">
      <c r="A1091" s="208" t="s">
        <v>1001</v>
      </c>
      <c r="B1091" s="134"/>
      <c r="C1091" s="134"/>
      <c r="D1091" s="134"/>
      <c r="E1091" s="134"/>
      <c r="F1091" s="202"/>
      <c r="G1091" s="203"/>
      <c r="H1091" s="203"/>
      <c r="I1091" s="203"/>
      <c r="J1091" s="203"/>
      <c r="K1091" s="203"/>
      <c r="L1091" s="203"/>
      <c r="M1091" s="203"/>
      <c r="N1091" s="203"/>
      <c r="O1091" s="203"/>
      <c r="P1091" s="207" t="s">
        <v>674</v>
      </c>
      <c r="Q1091" s="207" t="s">
        <v>645</v>
      </c>
    </row>
    <row r="1092" spans="1:17" ht="30" customHeight="1" x14ac:dyDescent="0.35">
      <c r="A1092" s="208" t="s">
        <v>1002</v>
      </c>
      <c r="B1092" s="134"/>
      <c r="C1092" s="134"/>
      <c r="D1092" s="134"/>
      <c r="E1092" s="134"/>
      <c r="F1092" s="202"/>
      <c r="G1092" s="203"/>
      <c r="H1092" s="203"/>
      <c r="I1092" s="203"/>
      <c r="J1092" s="203"/>
      <c r="K1092" s="203"/>
      <c r="L1092" s="203"/>
      <c r="M1092" s="203"/>
      <c r="N1092" s="203"/>
      <c r="O1092" s="203"/>
      <c r="P1092" s="207" t="s">
        <v>674</v>
      </c>
      <c r="Q1092" s="207" t="s">
        <v>645</v>
      </c>
    </row>
    <row r="1093" spans="1:17" ht="30" customHeight="1" x14ac:dyDescent="0.35">
      <c r="A1093" s="208" t="s">
        <v>835</v>
      </c>
      <c r="B1093" s="134"/>
      <c r="C1093" s="134"/>
      <c r="D1093" s="134"/>
      <c r="E1093" s="134"/>
      <c r="F1093" s="202"/>
      <c r="G1093" s="203"/>
      <c r="H1093" s="203"/>
      <c r="I1093" s="203"/>
      <c r="J1093" s="203"/>
      <c r="K1093" s="203"/>
      <c r="L1093" s="203"/>
      <c r="M1093" s="203"/>
      <c r="N1093" s="203"/>
      <c r="O1093" s="203"/>
      <c r="P1093" s="207" t="s">
        <v>674</v>
      </c>
      <c r="Q1093" s="207" t="s">
        <v>645</v>
      </c>
    </row>
    <row r="1094" spans="1:17" ht="30" customHeight="1" x14ac:dyDescent="0.35">
      <c r="A1094" s="208" t="s">
        <v>1003</v>
      </c>
      <c r="B1094" s="134"/>
      <c r="C1094" s="134"/>
      <c r="D1094" s="134"/>
      <c r="E1094" s="134"/>
      <c r="F1094" s="202"/>
      <c r="G1094" s="203"/>
      <c r="H1094" s="203"/>
      <c r="I1094" s="203"/>
      <c r="J1094" s="203"/>
      <c r="K1094" s="203"/>
      <c r="L1094" s="203"/>
      <c r="M1094" s="203"/>
      <c r="N1094" s="203"/>
      <c r="O1094" s="203"/>
      <c r="P1094" s="207" t="s">
        <v>674</v>
      </c>
      <c r="Q1094" s="207" t="s">
        <v>645</v>
      </c>
    </row>
    <row r="1095" spans="1:17" ht="30" customHeight="1" x14ac:dyDescent="0.35">
      <c r="A1095" s="208" t="s">
        <v>828</v>
      </c>
      <c r="B1095" s="134"/>
      <c r="C1095" s="134"/>
      <c r="D1095" s="134"/>
      <c r="E1095" s="134"/>
      <c r="F1095" s="202"/>
      <c r="G1095" s="203"/>
      <c r="H1095" s="203"/>
      <c r="I1095" s="203"/>
      <c r="J1095" s="203"/>
      <c r="K1095" s="203"/>
      <c r="L1095" s="203"/>
      <c r="M1095" s="203"/>
      <c r="N1095" s="203"/>
      <c r="O1095" s="203"/>
      <c r="P1095" s="207" t="s">
        <v>674</v>
      </c>
      <c r="Q1095" s="207" t="s">
        <v>645</v>
      </c>
    </row>
    <row r="1096" spans="1:17" ht="30" customHeight="1" x14ac:dyDescent="0.35">
      <c r="A1096" s="208" t="s">
        <v>836</v>
      </c>
      <c r="B1096" s="134"/>
      <c r="C1096" s="134"/>
      <c r="D1096" s="134"/>
      <c r="E1096" s="134"/>
      <c r="F1096" s="202"/>
      <c r="G1096" s="203"/>
      <c r="H1096" s="203"/>
      <c r="I1096" s="203"/>
      <c r="J1096" s="203"/>
      <c r="K1096" s="203"/>
      <c r="L1096" s="203"/>
      <c r="M1096" s="203"/>
      <c r="N1096" s="203"/>
      <c r="O1096" s="203"/>
      <c r="P1096" s="207" t="s">
        <v>674</v>
      </c>
      <c r="Q1096" s="207" t="s">
        <v>645</v>
      </c>
    </row>
    <row r="1097" spans="1:17" ht="30" customHeight="1" x14ac:dyDescent="0.35">
      <c r="A1097" s="208" t="s">
        <v>813</v>
      </c>
      <c r="B1097" s="134"/>
      <c r="C1097" s="134"/>
      <c r="D1097" s="134"/>
      <c r="E1097" s="134"/>
      <c r="F1097" s="202"/>
      <c r="G1097" s="203"/>
      <c r="H1097" s="203"/>
      <c r="I1097" s="203"/>
      <c r="J1097" s="203"/>
      <c r="K1097" s="203"/>
      <c r="L1097" s="203"/>
      <c r="M1097" s="203"/>
      <c r="N1097" s="203"/>
      <c r="O1097" s="203"/>
      <c r="P1097" s="207" t="s">
        <v>674</v>
      </c>
      <c r="Q1097" s="207" t="s">
        <v>645</v>
      </c>
    </row>
    <row r="1098" spans="1:17" ht="30" customHeight="1" x14ac:dyDescent="0.35">
      <c r="A1098" s="208" t="s">
        <v>1004</v>
      </c>
      <c r="B1098" s="134"/>
      <c r="C1098" s="134"/>
      <c r="D1098" s="134"/>
      <c r="E1098" s="134"/>
      <c r="F1098" s="202"/>
      <c r="G1098" s="203"/>
      <c r="H1098" s="203"/>
      <c r="I1098" s="203"/>
      <c r="J1098" s="203"/>
      <c r="K1098" s="203"/>
      <c r="L1098" s="203"/>
      <c r="M1098" s="203"/>
      <c r="N1098" s="203"/>
      <c r="O1098" s="203"/>
      <c r="P1098" s="207" t="s">
        <v>674</v>
      </c>
      <c r="Q1098" s="207" t="s">
        <v>645</v>
      </c>
    </row>
    <row r="1099" spans="1:17" ht="30" customHeight="1" x14ac:dyDescent="0.35">
      <c r="A1099" s="208" t="s">
        <v>1005</v>
      </c>
      <c r="B1099" s="134"/>
      <c r="C1099" s="134"/>
      <c r="D1099" s="134"/>
      <c r="E1099" s="134"/>
      <c r="F1099" s="202"/>
      <c r="G1099" s="203"/>
      <c r="H1099" s="203"/>
      <c r="I1099" s="203"/>
      <c r="J1099" s="203"/>
      <c r="K1099" s="203"/>
      <c r="L1099" s="203"/>
      <c r="M1099" s="203"/>
      <c r="N1099" s="203"/>
      <c r="O1099" s="203"/>
      <c r="P1099" s="207" t="s">
        <v>674</v>
      </c>
      <c r="Q1099" s="207" t="s">
        <v>645</v>
      </c>
    </row>
    <row r="1100" spans="1:17" ht="30" customHeight="1" x14ac:dyDescent="0.35">
      <c r="A1100" s="208" t="s">
        <v>1006</v>
      </c>
      <c r="B1100" s="134"/>
      <c r="C1100" s="134"/>
      <c r="D1100" s="134"/>
      <c r="E1100" s="134"/>
      <c r="F1100" s="202"/>
      <c r="G1100" s="203"/>
      <c r="H1100" s="203"/>
      <c r="I1100" s="203"/>
      <c r="J1100" s="203"/>
      <c r="K1100" s="203"/>
      <c r="L1100" s="203"/>
      <c r="M1100" s="203"/>
      <c r="N1100" s="203"/>
      <c r="O1100" s="203"/>
      <c r="P1100" s="207" t="s">
        <v>674</v>
      </c>
      <c r="Q1100" s="207" t="s">
        <v>645</v>
      </c>
    </row>
    <row r="1101" spans="1:17" ht="30" customHeight="1" x14ac:dyDescent="0.35">
      <c r="A1101" s="208" t="s">
        <v>1058</v>
      </c>
      <c r="B1101" s="134"/>
      <c r="C1101" s="134"/>
      <c r="D1101" s="134"/>
      <c r="E1101" s="134"/>
      <c r="F1101" s="202"/>
      <c r="G1101" s="203"/>
      <c r="H1101" s="203"/>
      <c r="I1101" s="203"/>
      <c r="J1101" s="203"/>
      <c r="K1101" s="203"/>
      <c r="L1101" s="203"/>
      <c r="M1101" s="203"/>
      <c r="N1101" s="203"/>
      <c r="O1101" s="203"/>
      <c r="P1101" s="207" t="s">
        <v>739</v>
      </c>
      <c r="Q1101" s="207" t="s">
        <v>645</v>
      </c>
    </row>
    <row r="1102" spans="1:17" ht="30" customHeight="1" x14ac:dyDescent="0.35">
      <c r="A1102" s="208" t="s">
        <v>1059</v>
      </c>
      <c r="B1102" s="134"/>
      <c r="C1102" s="134"/>
      <c r="D1102" s="134"/>
      <c r="E1102" s="134"/>
      <c r="F1102" s="202"/>
      <c r="G1102" s="203"/>
      <c r="H1102" s="203"/>
      <c r="I1102" s="203"/>
      <c r="J1102" s="203"/>
      <c r="K1102" s="203"/>
      <c r="L1102" s="203"/>
      <c r="M1102" s="203"/>
      <c r="N1102" s="203"/>
      <c r="O1102" s="203"/>
      <c r="P1102" s="207" t="s">
        <v>739</v>
      </c>
      <c r="Q1102" s="207" t="s">
        <v>645</v>
      </c>
    </row>
    <row r="1103" spans="1:17" ht="30" customHeight="1" x14ac:dyDescent="0.35">
      <c r="A1103" s="208" t="s">
        <v>820</v>
      </c>
      <c r="B1103" s="134"/>
      <c r="C1103" s="134"/>
      <c r="D1103" s="134"/>
      <c r="E1103" s="134"/>
      <c r="F1103" s="202"/>
      <c r="G1103" s="203"/>
      <c r="H1103" s="203"/>
      <c r="I1103" s="203"/>
      <c r="J1103" s="203"/>
      <c r="K1103" s="203"/>
      <c r="L1103" s="203"/>
      <c r="M1103" s="203"/>
      <c r="N1103" s="203"/>
      <c r="O1103" s="203"/>
      <c r="P1103" s="207" t="s">
        <v>674</v>
      </c>
      <c r="Q1103" s="207" t="s">
        <v>645</v>
      </c>
    </row>
    <row r="1104" spans="1:17" ht="30" customHeight="1" x14ac:dyDescent="0.35">
      <c r="A1104" s="208" t="s">
        <v>1036</v>
      </c>
      <c r="B1104" s="134"/>
      <c r="C1104" s="134"/>
      <c r="D1104" s="134"/>
      <c r="E1104" s="134"/>
      <c r="F1104" s="202"/>
      <c r="G1104" s="203"/>
      <c r="H1104" s="203"/>
      <c r="I1104" s="203"/>
      <c r="J1104" s="203"/>
      <c r="K1104" s="203"/>
      <c r="L1104" s="203"/>
      <c r="M1104" s="203"/>
      <c r="N1104" s="203"/>
      <c r="O1104" s="203"/>
      <c r="P1104" s="207" t="s">
        <v>838</v>
      </c>
      <c r="Q1104" s="207" t="s">
        <v>645</v>
      </c>
    </row>
    <row r="1105" spans="1:17" ht="30" customHeight="1" x14ac:dyDescent="0.35">
      <c r="A1105" s="208" t="s">
        <v>821</v>
      </c>
      <c r="B1105" s="134"/>
      <c r="C1105" s="134"/>
      <c r="D1105" s="134"/>
      <c r="E1105" s="134"/>
      <c r="F1105" s="202"/>
      <c r="G1105" s="203"/>
      <c r="H1105" s="203"/>
      <c r="I1105" s="203"/>
      <c r="J1105" s="203"/>
      <c r="K1105" s="203"/>
      <c r="L1105" s="203"/>
      <c r="M1105" s="203"/>
      <c r="N1105" s="203"/>
      <c r="O1105" s="203"/>
      <c r="P1105" s="207" t="s">
        <v>674</v>
      </c>
      <c r="Q1105" s="207" t="s">
        <v>645</v>
      </c>
    </row>
    <row r="1106" spans="1:17" ht="30" customHeight="1" x14ac:dyDescent="0.35">
      <c r="A1106" s="208" t="s">
        <v>829</v>
      </c>
      <c r="B1106" s="134"/>
      <c r="C1106" s="134"/>
      <c r="D1106" s="134"/>
      <c r="E1106" s="134"/>
      <c r="F1106" s="202"/>
      <c r="G1106" s="203"/>
      <c r="H1106" s="203"/>
      <c r="I1106" s="203"/>
      <c r="J1106" s="203"/>
      <c r="K1106" s="203"/>
      <c r="L1106" s="203"/>
      <c r="M1106" s="203"/>
      <c r="N1106" s="203"/>
      <c r="O1106" s="203"/>
      <c r="P1106" s="207" t="s">
        <v>674</v>
      </c>
      <c r="Q1106" s="207" t="s">
        <v>645</v>
      </c>
    </row>
    <row r="1107" spans="1:17" ht="30" customHeight="1" x14ac:dyDescent="0.35">
      <c r="A1107" s="208" t="s">
        <v>837</v>
      </c>
      <c r="B1107" s="134"/>
      <c r="C1107" s="134"/>
      <c r="D1107" s="134"/>
      <c r="E1107" s="134"/>
      <c r="F1107" s="202"/>
      <c r="G1107" s="203"/>
      <c r="H1107" s="203"/>
      <c r="I1107" s="203"/>
      <c r="J1107" s="203"/>
      <c r="K1107" s="203"/>
      <c r="L1107" s="203"/>
      <c r="M1107" s="203"/>
      <c r="N1107" s="203"/>
      <c r="O1107" s="203"/>
      <c r="P1107" s="207" t="s">
        <v>674</v>
      </c>
      <c r="Q1107" s="207" t="s">
        <v>645</v>
      </c>
    </row>
    <row r="1108" spans="1:17" ht="30" customHeight="1" x14ac:dyDescent="0.35">
      <c r="A1108" s="208" t="s">
        <v>1043</v>
      </c>
      <c r="B1108" s="134"/>
      <c r="C1108" s="134"/>
      <c r="D1108" s="134"/>
      <c r="E1108" s="134"/>
      <c r="F1108" s="202"/>
      <c r="G1108" s="203"/>
      <c r="H1108" s="203"/>
      <c r="I1108" s="203"/>
      <c r="J1108" s="203"/>
      <c r="K1108" s="203"/>
      <c r="L1108" s="203"/>
      <c r="M1108" s="203"/>
      <c r="N1108" s="203"/>
      <c r="O1108" s="203"/>
      <c r="P1108" s="207" t="s">
        <v>739</v>
      </c>
      <c r="Q1108" s="207" t="s">
        <v>645</v>
      </c>
    </row>
    <row r="1109" spans="1:17" ht="30" customHeight="1" x14ac:dyDescent="0.35">
      <c r="A1109" s="208" t="s">
        <v>814</v>
      </c>
      <c r="B1109" s="134"/>
      <c r="C1109" s="134"/>
      <c r="D1109" s="134"/>
      <c r="E1109" s="134"/>
      <c r="F1109" s="202"/>
      <c r="G1109" s="203"/>
      <c r="H1109" s="203"/>
      <c r="I1109" s="203"/>
      <c r="J1109" s="203"/>
      <c r="K1109" s="203"/>
      <c r="L1109" s="203"/>
      <c r="M1109" s="203"/>
      <c r="N1109" s="203"/>
      <c r="O1109" s="203"/>
      <c r="P1109" s="207" t="s">
        <v>674</v>
      </c>
      <c r="Q1109" s="207" t="s">
        <v>645</v>
      </c>
    </row>
    <row r="1110" spans="1:17" ht="30" customHeight="1" x14ac:dyDescent="0.35">
      <c r="A1110" s="208" t="s">
        <v>1075</v>
      </c>
      <c r="B1110" s="134"/>
      <c r="C1110" s="134"/>
      <c r="D1110" s="134"/>
      <c r="E1110" s="134"/>
      <c r="F1110" s="202"/>
      <c r="G1110" s="203"/>
      <c r="H1110" s="203"/>
      <c r="I1110" s="203"/>
      <c r="J1110" s="203"/>
      <c r="K1110" s="203"/>
      <c r="L1110" s="203"/>
      <c r="M1110" s="203"/>
      <c r="N1110" s="203"/>
      <c r="O1110" s="203"/>
      <c r="P1110" s="207" t="s">
        <v>739</v>
      </c>
      <c r="Q1110" s="207" t="s">
        <v>645</v>
      </c>
    </row>
    <row r="1111" spans="1:17" ht="30" customHeight="1" x14ac:dyDescent="0.35">
      <c r="A1111" s="208" t="s">
        <v>1074</v>
      </c>
      <c r="B1111" s="134"/>
      <c r="C1111" s="134"/>
      <c r="D1111" s="134"/>
      <c r="E1111" s="134"/>
      <c r="F1111" s="202"/>
      <c r="G1111" s="203"/>
      <c r="H1111" s="203"/>
      <c r="I1111" s="203"/>
      <c r="J1111" s="203"/>
      <c r="K1111" s="203"/>
      <c r="L1111" s="203"/>
      <c r="M1111" s="203"/>
      <c r="N1111" s="203"/>
      <c r="O1111" s="203"/>
      <c r="P1111" s="207" t="s">
        <v>739</v>
      </c>
      <c r="Q1111" s="207" t="s">
        <v>645</v>
      </c>
    </row>
    <row r="1112" spans="1:17" ht="30" customHeight="1" x14ac:dyDescent="0.35">
      <c r="A1112" s="208" t="s">
        <v>1073</v>
      </c>
      <c r="B1112" s="134"/>
      <c r="C1112" s="134"/>
      <c r="D1112" s="134"/>
      <c r="E1112" s="134"/>
      <c r="F1112" s="202"/>
      <c r="G1112" s="203"/>
      <c r="H1112" s="203"/>
      <c r="I1112" s="203"/>
      <c r="J1112" s="203"/>
      <c r="K1112" s="203"/>
      <c r="L1112" s="203"/>
      <c r="M1112" s="203"/>
      <c r="N1112" s="203"/>
      <c r="O1112" s="203"/>
      <c r="P1112" s="207" t="s">
        <v>739</v>
      </c>
      <c r="Q1112" s="207" t="s">
        <v>645</v>
      </c>
    </row>
    <row r="1113" spans="1:17" ht="30" customHeight="1" x14ac:dyDescent="0.35">
      <c r="A1113" s="208" t="s">
        <v>1072</v>
      </c>
      <c r="B1113" s="134"/>
      <c r="C1113" s="134"/>
      <c r="D1113" s="134"/>
      <c r="E1113" s="134"/>
      <c r="F1113" s="202"/>
      <c r="G1113" s="203"/>
      <c r="H1113" s="203"/>
      <c r="I1113" s="203"/>
      <c r="J1113" s="203"/>
      <c r="K1113" s="203"/>
      <c r="L1113" s="203"/>
      <c r="M1113" s="203"/>
      <c r="N1113" s="203"/>
      <c r="O1113" s="203"/>
      <c r="P1113" s="207" t="s">
        <v>739</v>
      </c>
      <c r="Q1113" s="207" t="s">
        <v>645</v>
      </c>
    </row>
    <row r="1114" spans="1:17" ht="30" customHeight="1" x14ac:dyDescent="0.35">
      <c r="A1114" s="208" t="s">
        <v>1071</v>
      </c>
      <c r="B1114" s="134"/>
      <c r="C1114" s="134"/>
      <c r="D1114" s="134"/>
      <c r="E1114" s="134"/>
      <c r="F1114" s="202"/>
      <c r="G1114" s="203"/>
      <c r="H1114" s="203"/>
      <c r="I1114" s="203"/>
      <c r="J1114" s="203"/>
      <c r="K1114" s="203"/>
      <c r="L1114" s="203"/>
      <c r="M1114" s="203"/>
      <c r="N1114" s="203"/>
      <c r="O1114" s="203"/>
      <c r="P1114" s="207" t="s">
        <v>739</v>
      </c>
      <c r="Q1114" s="207" t="s">
        <v>645</v>
      </c>
    </row>
    <row r="1115" spans="1:17" ht="30" customHeight="1" x14ac:dyDescent="0.35">
      <c r="A1115" s="208" t="s">
        <v>1070</v>
      </c>
      <c r="B1115" s="134"/>
      <c r="C1115" s="134"/>
      <c r="D1115" s="134"/>
      <c r="E1115" s="134"/>
      <c r="F1115" s="202"/>
      <c r="G1115" s="203"/>
      <c r="H1115" s="203"/>
      <c r="I1115" s="203"/>
      <c r="J1115" s="203"/>
      <c r="K1115" s="203"/>
      <c r="L1115" s="203"/>
      <c r="M1115" s="203"/>
      <c r="N1115" s="203"/>
      <c r="O1115" s="203"/>
      <c r="P1115" s="207" t="s">
        <v>739</v>
      </c>
      <c r="Q1115" s="207" t="s">
        <v>645</v>
      </c>
    </row>
    <row r="1116" spans="1:17" ht="30" customHeight="1" x14ac:dyDescent="0.35">
      <c r="A1116" s="208" t="s">
        <v>1069</v>
      </c>
      <c r="B1116" s="134"/>
      <c r="C1116" s="134"/>
      <c r="D1116" s="134"/>
      <c r="E1116" s="134"/>
      <c r="F1116" s="202"/>
      <c r="G1116" s="203"/>
      <c r="H1116" s="203"/>
      <c r="I1116" s="203"/>
      <c r="J1116" s="203"/>
      <c r="K1116" s="203"/>
      <c r="L1116" s="203"/>
      <c r="M1116" s="203"/>
      <c r="N1116" s="203"/>
      <c r="O1116" s="203"/>
      <c r="P1116" s="207" t="s">
        <v>739</v>
      </c>
      <c r="Q1116" s="207" t="s">
        <v>645</v>
      </c>
    </row>
    <row r="1117" spans="1:17" ht="30" customHeight="1" x14ac:dyDescent="0.35">
      <c r="A1117" s="208" t="s">
        <v>1007</v>
      </c>
      <c r="B1117" s="134"/>
      <c r="C1117" s="134"/>
      <c r="D1117" s="134"/>
      <c r="E1117" s="134"/>
      <c r="F1117" s="202"/>
      <c r="G1117" s="203"/>
      <c r="H1117" s="203"/>
      <c r="I1117" s="203"/>
      <c r="J1117" s="203"/>
      <c r="K1117" s="203"/>
      <c r="L1117" s="203"/>
      <c r="M1117" s="203"/>
      <c r="N1117" s="203"/>
      <c r="O1117" s="203"/>
      <c r="P1117" s="207" t="s">
        <v>674</v>
      </c>
      <c r="Q1117" s="207" t="s">
        <v>645</v>
      </c>
    </row>
    <row r="1118" spans="1:17" ht="30" customHeight="1" x14ac:dyDescent="0.35">
      <c r="A1118" s="208" t="s">
        <v>798</v>
      </c>
      <c r="B1118" s="134"/>
      <c r="C1118" s="134"/>
      <c r="D1118" s="134"/>
      <c r="E1118" s="134"/>
      <c r="F1118" s="202"/>
      <c r="G1118" s="203"/>
      <c r="H1118" s="203"/>
      <c r="I1118" s="203"/>
      <c r="J1118" s="203"/>
      <c r="K1118" s="203"/>
      <c r="L1118" s="203"/>
      <c r="M1118" s="203"/>
      <c r="N1118" s="203"/>
      <c r="O1118" s="203"/>
      <c r="P1118" s="207" t="s">
        <v>739</v>
      </c>
      <c r="Q1118" s="207" t="s">
        <v>645</v>
      </c>
    </row>
    <row r="1119" spans="1:17" ht="30" customHeight="1" x14ac:dyDescent="0.35">
      <c r="A1119" s="208" t="s">
        <v>1008</v>
      </c>
      <c r="B1119" s="134"/>
      <c r="C1119" s="134"/>
      <c r="D1119" s="134"/>
      <c r="E1119" s="134"/>
      <c r="F1119" s="202"/>
      <c r="G1119" s="203"/>
      <c r="H1119" s="203"/>
      <c r="I1119" s="203"/>
      <c r="J1119" s="203"/>
      <c r="K1119" s="203"/>
      <c r="L1119" s="203"/>
      <c r="M1119" s="203"/>
      <c r="N1119" s="203"/>
      <c r="O1119" s="203"/>
      <c r="P1119" s="207" t="s">
        <v>674</v>
      </c>
      <c r="Q1119" s="207" t="s">
        <v>645</v>
      </c>
    </row>
    <row r="1120" spans="1:17" ht="30" customHeight="1" x14ac:dyDescent="0.35">
      <c r="A1120" s="208" t="s">
        <v>1009</v>
      </c>
      <c r="B1120" s="134"/>
      <c r="C1120" s="134"/>
      <c r="D1120" s="134"/>
      <c r="E1120" s="134"/>
      <c r="F1120" s="202"/>
      <c r="G1120" s="203"/>
      <c r="H1120" s="203"/>
      <c r="I1120" s="203"/>
      <c r="J1120" s="203"/>
      <c r="K1120" s="203"/>
      <c r="L1120" s="203"/>
      <c r="M1120" s="203"/>
      <c r="N1120" s="203"/>
      <c r="O1120" s="203"/>
      <c r="P1120" s="207" t="s">
        <v>674</v>
      </c>
      <c r="Q1120" s="207" t="s">
        <v>645</v>
      </c>
    </row>
    <row r="1121" spans="1:17" s="204" customFormat="1" ht="30" customHeight="1" x14ac:dyDescent="0.35">
      <c r="A1121" s="208" t="s">
        <v>1028</v>
      </c>
      <c r="B1121" s="134"/>
      <c r="C1121" s="134"/>
      <c r="D1121" s="134"/>
      <c r="E1121" s="134"/>
      <c r="F1121" s="202"/>
      <c r="G1121" s="203"/>
      <c r="H1121" s="203"/>
      <c r="I1121" s="203"/>
      <c r="J1121" s="203"/>
      <c r="K1121" s="203"/>
      <c r="L1121" s="203"/>
      <c r="M1121" s="203"/>
      <c r="N1121" s="203"/>
      <c r="O1121" s="203"/>
      <c r="P1121" s="207" t="s">
        <v>739</v>
      </c>
      <c r="Q1121" s="207" t="s">
        <v>645</v>
      </c>
    </row>
    <row r="1122" spans="1:17" ht="30" customHeight="1" x14ac:dyDescent="0.35">
      <c r="A1122" s="208" t="s">
        <v>1027</v>
      </c>
      <c r="B1122" s="134"/>
      <c r="C1122" s="134"/>
      <c r="D1122" s="134"/>
      <c r="E1122" s="134"/>
      <c r="F1122" s="202"/>
      <c r="G1122" s="203"/>
      <c r="H1122" s="203"/>
      <c r="I1122" s="203"/>
      <c r="J1122" s="203"/>
      <c r="K1122" s="203"/>
      <c r="L1122" s="203"/>
      <c r="M1122" s="203"/>
      <c r="N1122" s="203"/>
      <c r="O1122" s="203"/>
      <c r="P1122" s="207" t="s">
        <v>739</v>
      </c>
      <c r="Q1122" s="207" t="s">
        <v>645</v>
      </c>
    </row>
    <row r="1123" spans="1:17" ht="30" customHeight="1" x14ac:dyDescent="0.35">
      <c r="A1123" s="208" t="s">
        <v>1029</v>
      </c>
      <c r="B1123" s="134"/>
      <c r="C1123" s="134"/>
      <c r="D1123" s="134"/>
      <c r="E1123" s="134"/>
      <c r="F1123" s="202"/>
      <c r="G1123" s="203"/>
      <c r="H1123" s="203"/>
      <c r="I1123" s="203"/>
      <c r="J1123" s="203"/>
      <c r="K1123" s="203"/>
      <c r="L1123" s="203"/>
      <c r="M1123" s="203"/>
      <c r="N1123" s="203"/>
      <c r="O1123" s="203"/>
      <c r="P1123" s="207" t="s">
        <v>739</v>
      </c>
      <c r="Q1123" s="207" t="s">
        <v>645</v>
      </c>
    </row>
    <row r="1124" spans="1:17" ht="30" customHeight="1" x14ac:dyDescent="0.35">
      <c r="A1124" s="208" t="s">
        <v>1032</v>
      </c>
      <c r="B1124" s="134"/>
      <c r="C1124" s="134"/>
      <c r="D1124" s="134"/>
      <c r="E1124" s="134"/>
      <c r="F1124" s="202"/>
      <c r="G1124" s="203"/>
      <c r="H1124" s="203"/>
      <c r="I1124" s="203"/>
      <c r="J1124" s="203"/>
      <c r="K1124" s="203"/>
      <c r="L1124" s="203"/>
      <c r="M1124" s="203"/>
      <c r="N1124" s="203"/>
      <c r="O1124" s="203"/>
      <c r="P1124" s="207" t="s">
        <v>739</v>
      </c>
      <c r="Q1124" s="207" t="s">
        <v>645</v>
      </c>
    </row>
    <row r="1125" spans="1:17" ht="30" customHeight="1" x14ac:dyDescent="0.35">
      <c r="A1125" s="208" t="s">
        <v>1010</v>
      </c>
      <c r="B1125" s="134"/>
      <c r="C1125" s="134"/>
      <c r="D1125" s="134"/>
      <c r="E1125" s="134"/>
      <c r="F1125" s="202"/>
      <c r="G1125" s="203"/>
      <c r="H1125" s="203"/>
      <c r="I1125" s="203"/>
      <c r="J1125" s="203"/>
      <c r="K1125" s="203"/>
      <c r="L1125" s="203"/>
      <c r="M1125" s="203"/>
      <c r="N1125" s="203"/>
      <c r="O1125" s="203"/>
      <c r="P1125" s="207" t="s">
        <v>739</v>
      </c>
      <c r="Q1125" s="207" t="s">
        <v>645</v>
      </c>
    </row>
    <row r="1126" spans="1:17" ht="30" customHeight="1" x14ac:dyDescent="0.35">
      <c r="A1126" s="208" t="s">
        <v>1011</v>
      </c>
      <c r="B1126" s="134"/>
      <c r="C1126" s="134"/>
      <c r="D1126" s="134"/>
      <c r="E1126" s="134"/>
      <c r="F1126" s="202"/>
      <c r="G1126" s="203"/>
      <c r="H1126" s="203"/>
      <c r="I1126" s="203"/>
      <c r="J1126" s="203"/>
      <c r="K1126" s="203"/>
      <c r="L1126" s="203"/>
      <c r="M1126" s="203"/>
      <c r="N1126" s="203"/>
      <c r="O1126" s="203"/>
      <c r="P1126" s="207" t="s">
        <v>739</v>
      </c>
      <c r="Q1126" s="207" t="s">
        <v>645</v>
      </c>
    </row>
    <row r="1127" spans="1:17" ht="30" customHeight="1" x14ac:dyDescent="0.35">
      <c r="A1127" s="208" t="s">
        <v>1012</v>
      </c>
      <c r="B1127" s="134"/>
      <c r="C1127" s="134"/>
      <c r="D1127" s="134"/>
      <c r="E1127" s="134"/>
      <c r="F1127" s="202"/>
      <c r="G1127" s="203"/>
      <c r="H1127" s="203"/>
      <c r="I1127" s="203"/>
      <c r="J1127" s="203"/>
      <c r="K1127" s="203"/>
      <c r="L1127" s="203"/>
      <c r="M1127" s="203"/>
      <c r="N1127" s="203"/>
      <c r="O1127" s="203"/>
      <c r="P1127" s="207" t="s">
        <v>739</v>
      </c>
      <c r="Q1127" s="207" t="s">
        <v>645</v>
      </c>
    </row>
    <row r="1128" spans="1:17" ht="30" customHeight="1" x14ac:dyDescent="0.35">
      <c r="A1128" s="208" t="s">
        <v>1013</v>
      </c>
      <c r="B1128" s="134"/>
      <c r="C1128" s="134"/>
      <c r="D1128" s="134"/>
      <c r="E1128" s="134"/>
      <c r="F1128" s="202"/>
      <c r="G1128" s="203"/>
      <c r="H1128" s="203"/>
      <c r="I1128" s="203"/>
      <c r="J1128" s="203"/>
      <c r="K1128" s="203"/>
      <c r="L1128" s="203"/>
      <c r="M1128" s="203"/>
      <c r="N1128" s="203"/>
      <c r="O1128" s="203"/>
      <c r="P1128" s="207" t="s">
        <v>739</v>
      </c>
      <c r="Q1128" s="207" t="s">
        <v>645</v>
      </c>
    </row>
    <row r="1129" spans="1:17" ht="30" customHeight="1" x14ac:dyDescent="0.35">
      <c r="A1129" s="208" t="s">
        <v>1014</v>
      </c>
      <c r="B1129" s="134"/>
      <c r="C1129" s="134"/>
      <c r="D1129" s="134"/>
      <c r="E1129" s="134"/>
      <c r="F1129" s="202"/>
      <c r="G1129" s="203"/>
      <c r="H1129" s="203"/>
      <c r="I1129" s="203"/>
      <c r="J1129" s="203"/>
      <c r="K1129" s="203"/>
      <c r="L1129" s="203"/>
      <c r="M1129" s="203"/>
      <c r="N1129" s="203"/>
      <c r="O1129" s="203"/>
      <c r="P1129" s="207" t="s">
        <v>739</v>
      </c>
      <c r="Q1129" s="207" t="s">
        <v>645</v>
      </c>
    </row>
    <row r="1130" spans="1:17" ht="30" customHeight="1" x14ac:dyDescent="0.35">
      <c r="A1130" s="208" t="s">
        <v>1015</v>
      </c>
      <c r="B1130" s="134"/>
      <c r="C1130" s="134"/>
      <c r="D1130" s="134"/>
      <c r="E1130" s="134"/>
      <c r="F1130" s="202"/>
      <c r="G1130" s="203"/>
      <c r="H1130" s="203"/>
      <c r="I1130" s="203"/>
      <c r="J1130" s="203"/>
      <c r="K1130" s="203"/>
      <c r="L1130" s="203"/>
      <c r="M1130" s="203"/>
      <c r="N1130" s="203"/>
      <c r="O1130" s="203"/>
      <c r="P1130" s="207" t="s">
        <v>739</v>
      </c>
      <c r="Q1130" s="207" t="s">
        <v>645</v>
      </c>
    </row>
    <row r="1131" spans="1:17" ht="30" customHeight="1" x14ac:dyDescent="0.35">
      <c r="A1131" s="208" t="s">
        <v>1016</v>
      </c>
      <c r="B1131" s="134"/>
      <c r="C1131" s="134"/>
      <c r="D1131" s="134"/>
      <c r="E1131" s="134"/>
      <c r="F1131" s="202"/>
      <c r="G1131" s="203"/>
      <c r="H1131" s="203"/>
      <c r="I1131" s="203"/>
      <c r="J1131" s="203"/>
      <c r="K1131" s="203"/>
      <c r="L1131" s="203"/>
      <c r="M1131" s="203"/>
      <c r="N1131" s="203"/>
      <c r="O1131" s="203"/>
      <c r="P1131" s="207" t="s">
        <v>739</v>
      </c>
      <c r="Q1131" s="207" t="s">
        <v>645</v>
      </c>
    </row>
    <row r="1132" spans="1:17" s="205" customFormat="1" ht="30" customHeight="1" x14ac:dyDescent="0.35">
      <c r="A1132" s="208" t="s">
        <v>842</v>
      </c>
      <c r="B1132" s="134"/>
      <c r="C1132" s="134"/>
      <c r="D1132" s="134"/>
      <c r="E1132" s="134"/>
      <c r="F1132" s="202"/>
      <c r="G1132" s="203"/>
      <c r="H1132" s="203"/>
      <c r="I1132" s="203"/>
      <c r="J1132" s="203"/>
      <c r="K1132" s="203"/>
      <c r="L1132" s="203"/>
      <c r="M1132" s="203"/>
      <c r="N1132" s="203"/>
      <c r="O1132" s="203"/>
      <c r="P1132" s="207" t="s">
        <v>739</v>
      </c>
      <c r="Q1132" s="207" t="s">
        <v>645</v>
      </c>
    </row>
    <row r="1133" spans="1:17" s="205" customFormat="1" ht="30" customHeight="1" x14ac:dyDescent="0.35">
      <c r="A1133" s="208" t="s">
        <v>815</v>
      </c>
      <c r="B1133" s="134"/>
      <c r="C1133" s="134"/>
      <c r="D1133" s="134"/>
      <c r="E1133" s="134"/>
      <c r="F1133" s="202"/>
      <c r="G1133" s="203"/>
      <c r="H1133" s="203"/>
      <c r="I1133" s="203"/>
      <c r="J1133" s="203"/>
      <c r="K1133" s="203"/>
      <c r="L1133" s="203"/>
      <c r="M1133" s="203"/>
      <c r="N1133" s="203"/>
      <c r="O1133" s="203"/>
      <c r="P1133" s="207" t="s">
        <v>674</v>
      </c>
      <c r="Q1133" s="207" t="s">
        <v>645</v>
      </c>
    </row>
    <row r="1134" spans="1:17" s="205" customFormat="1" ht="30" customHeight="1" x14ac:dyDescent="0.35">
      <c r="A1134" s="208" t="s">
        <v>816</v>
      </c>
      <c r="B1134" s="134"/>
      <c r="C1134" s="134"/>
      <c r="D1134" s="134"/>
      <c r="E1134" s="134"/>
      <c r="F1134" s="202"/>
      <c r="G1134" s="203"/>
      <c r="H1134" s="203"/>
      <c r="I1134" s="203"/>
      <c r="J1134" s="203"/>
      <c r="K1134" s="203"/>
      <c r="L1134" s="203"/>
      <c r="M1134" s="203"/>
      <c r="N1134" s="203"/>
      <c r="O1134" s="203"/>
      <c r="P1134" s="207" t="s">
        <v>674</v>
      </c>
      <c r="Q1134" s="207" t="s">
        <v>645</v>
      </c>
    </row>
    <row r="1135" spans="1:17" s="205" customFormat="1" ht="30" customHeight="1" x14ac:dyDescent="0.35">
      <c r="A1135" s="208" t="s">
        <v>1055</v>
      </c>
      <c r="B1135" s="134"/>
      <c r="C1135" s="134"/>
      <c r="D1135" s="134"/>
      <c r="E1135" s="134"/>
      <c r="F1135" s="202"/>
      <c r="G1135" s="203"/>
      <c r="H1135" s="203"/>
      <c r="I1135" s="203"/>
      <c r="J1135" s="203"/>
      <c r="K1135" s="203"/>
      <c r="L1135" s="203"/>
      <c r="M1135" s="203"/>
      <c r="N1135" s="203"/>
      <c r="O1135" s="203"/>
      <c r="P1135" s="207" t="s">
        <v>674</v>
      </c>
      <c r="Q1135" s="207" t="s">
        <v>645</v>
      </c>
    </row>
    <row r="1136" spans="1:17" ht="30" customHeight="1" x14ac:dyDescent="0.35">
      <c r="A1136" s="208" t="s">
        <v>1044</v>
      </c>
      <c r="B1136" s="134"/>
      <c r="C1136" s="134"/>
      <c r="D1136" s="134"/>
      <c r="E1136" s="134"/>
      <c r="F1136" s="202"/>
      <c r="G1136" s="203"/>
      <c r="H1136" s="203"/>
      <c r="I1136" s="203"/>
      <c r="J1136" s="203"/>
      <c r="K1136" s="203"/>
      <c r="L1136" s="203"/>
      <c r="M1136" s="203"/>
      <c r="N1136" s="203"/>
      <c r="O1136" s="203"/>
      <c r="P1136" s="207" t="s">
        <v>739</v>
      </c>
      <c r="Q1136" s="207" t="s">
        <v>645</v>
      </c>
    </row>
    <row r="1137" spans="1:17" ht="30" customHeight="1" x14ac:dyDescent="0.35">
      <c r="A1137" s="208" t="s">
        <v>1030</v>
      </c>
      <c r="B1137" s="134"/>
      <c r="C1137" s="134"/>
      <c r="D1137" s="134"/>
      <c r="E1137" s="134"/>
      <c r="F1137" s="202"/>
      <c r="G1137" s="203"/>
      <c r="H1137" s="203"/>
      <c r="I1137" s="203"/>
      <c r="J1137" s="203"/>
      <c r="K1137" s="203"/>
      <c r="L1137" s="203"/>
      <c r="M1137" s="203"/>
      <c r="N1137" s="203"/>
      <c r="O1137" s="203"/>
      <c r="P1137" s="207" t="s">
        <v>739</v>
      </c>
      <c r="Q1137" s="207" t="s">
        <v>645</v>
      </c>
    </row>
    <row r="1138" spans="1:17" ht="30" customHeight="1" x14ac:dyDescent="0.35">
      <c r="A1138" s="208" t="s">
        <v>822</v>
      </c>
      <c r="B1138" s="134"/>
      <c r="C1138" s="134"/>
      <c r="D1138" s="134"/>
      <c r="E1138" s="134"/>
      <c r="F1138" s="202"/>
      <c r="G1138" s="203"/>
      <c r="H1138" s="203"/>
      <c r="I1138" s="203"/>
      <c r="J1138" s="203"/>
      <c r="K1138" s="203"/>
      <c r="L1138" s="203"/>
      <c r="M1138" s="203"/>
      <c r="N1138" s="203"/>
      <c r="O1138" s="203"/>
      <c r="P1138" s="207" t="s">
        <v>674</v>
      </c>
      <c r="Q1138" s="207" t="s">
        <v>645</v>
      </c>
    </row>
    <row r="1139" spans="1:17" ht="30" customHeight="1" x14ac:dyDescent="0.35">
      <c r="A1139" s="208" t="s">
        <v>1053</v>
      </c>
      <c r="B1139" s="134"/>
      <c r="C1139" s="134"/>
      <c r="D1139" s="134"/>
      <c r="E1139" s="134"/>
      <c r="F1139" s="202"/>
      <c r="G1139" s="203"/>
      <c r="H1139" s="203"/>
      <c r="I1139" s="203"/>
      <c r="J1139" s="203"/>
      <c r="K1139" s="203"/>
      <c r="L1139" s="203"/>
      <c r="M1139" s="203"/>
      <c r="N1139" s="203"/>
      <c r="O1139" s="203"/>
      <c r="P1139" s="207" t="s">
        <v>674</v>
      </c>
      <c r="Q1139" s="207" t="s">
        <v>645</v>
      </c>
    </row>
    <row r="1140" spans="1:17" ht="30" customHeight="1" x14ac:dyDescent="0.35">
      <c r="A1140" s="208" t="s">
        <v>1056</v>
      </c>
      <c r="B1140" s="134"/>
      <c r="C1140" s="134"/>
      <c r="D1140" s="134"/>
      <c r="E1140" s="134"/>
      <c r="F1140" s="202"/>
      <c r="G1140" s="203"/>
      <c r="H1140" s="203"/>
      <c r="I1140" s="203"/>
      <c r="J1140" s="203"/>
      <c r="K1140" s="203"/>
      <c r="L1140" s="203"/>
      <c r="M1140" s="203"/>
      <c r="N1140" s="203"/>
      <c r="O1140" s="203"/>
      <c r="P1140" s="207" t="s">
        <v>674</v>
      </c>
      <c r="Q1140" s="207" t="s">
        <v>645</v>
      </c>
    </row>
    <row r="1141" spans="1:17" ht="30" customHeight="1" x14ac:dyDescent="0.35">
      <c r="A1141" s="208" t="s">
        <v>817</v>
      </c>
      <c r="B1141" s="134"/>
      <c r="C1141" s="134"/>
      <c r="D1141" s="134"/>
      <c r="E1141" s="134"/>
      <c r="F1141" s="202"/>
      <c r="G1141" s="203"/>
      <c r="H1141" s="203"/>
      <c r="I1141" s="203"/>
      <c r="J1141" s="203"/>
      <c r="K1141" s="203"/>
      <c r="L1141" s="203"/>
      <c r="M1141" s="203"/>
      <c r="N1141" s="203"/>
      <c r="O1141" s="203"/>
      <c r="P1141" s="207" t="s">
        <v>674</v>
      </c>
      <c r="Q1141" s="207" t="s">
        <v>645</v>
      </c>
    </row>
    <row r="1142" spans="1:17" ht="30" customHeight="1" x14ac:dyDescent="0.35">
      <c r="A1142" s="208" t="s">
        <v>1017</v>
      </c>
      <c r="B1142" s="134"/>
      <c r="C1142" s="134"/>
      <c r="D1142" s="134"/>
      <c r="E1142" s="134"/>
      <c r="F1142" s="202"/>
      <c r="G1142" s="203"/>
      <c r="H1142" s="203"/>
      <c r="I1142" s="203"/>
      <c r="J1142" s="203"/>
      <c r="K1142" s="203"/>
      <c r="L1142" s="203"/>
      <c r="M1142" s="203"/>
      <c r="N1142" s="203"/>
      <c r="O1142" s="203"/>
      <c r="P1142" s="207" t="s">
        <v>674</v>
      </c>
      <c r="Q1142" s="207" t="s">
        <v>645</v>
      </c>
    </row>
    <row r="1143" spans="1:17" ht="30" customHeight="1" x14ac:dyDescent="0.35">
      <c r="A1143" s="208" t="s">
        <v>1018</v>
      </c>
      <c r="B1143" s="134"/>
      <c r="C1143" s="134"/>
      <c r="D1143" s="134"/>
      <c r="E1143" s="134"/>
      <c r="F1143" s="202"/>
      <c r="G1143" s="203"/>
      <c r="H1143" s="203"/>
      <c r="I1143" s="203"/>
      <c r="J1143" s="203"/>
      <c r="K1143" s="203"/>
      <c r="L1143" s="203"/>
      <c r="M1143" s="203"/>
      <c r="N1143" s="203"/>
      <c r="O1143" s="203"/>
      <c r="P1143" s="207" t="s">
        <v>739</v>
      </c>
      <c r="Q1143" s="207" t="s">
        <v>645</v>
      </c>
    </row>
    <row r="1144" spans="1:17" ht="30" customHeight="1" x14ac:dyDescent="0.35">
      <c r="A1144" s="208" t="s">
        <v>1031</v>
      </c>
      <c r="B1144" s="134"/>
      <c r="C1144" s="134"/>
      <c r="D1144" s="134"/>
      <c r="E1144" s="134"/>
      <c r="F1144" s="202"/>
      <c r="G1144" s="203"/>
      <c r="H1144" s="203"/>
      <c r="I1144" s="203"/>
      <c r="J1144" s="203"/>
      <c r="K1144" s="203"/>
      <c r="L1144" s="203"/>
      <c r="M1144" s="203"/>
      <c r="N1144" s="203"/>
      <c r="O1144" s="203"/>
      <c r="P1144" s="207" t="s">
        <v>739</v>
      </c>
      <c r="Q1144" s="207" t="s">
        <v>645</v>
      </c>
    </row>
    <row r="1145" spans="1:17" ht="30" customHeight="1" x14ac:dyDescent="0.35">
      <c r="A1145" s="208" t="s">
        <v>1019</v>
      </c>
      <c r="B1145" s="134"/>
      <c r="C1145" s="134"/>
      <c r="D1145" s="134"/>
      <c r="E1145" s="134"/>
      <c r="F1145" s="202"/>
      <c r="G1145" s="203"/>
      <c r="H1145" s="203"/>
      <c r="I1145" s="203"/>
      <c r="J1145" s="203"/>
      <c r="K1145" s="203"/>
      <c r="L1145" s="203"/>
      <c r="M1145" s="203"/>
      <c r="N1145" s="203"/>
      <c r="O1145" s="203"/>
      <c r="P1145" s="207" t="s">
        <v>739</v>
      </c>
      <c r="Q1145" s="207" t="s">
        <v>645</v>
      </c>
    </row>
    <row r="1146" spans="1:17" ht="30" customHeight="1" x14ac:dyDescent="0.35">
      <c r="A1146" s="208" t="s">
        <v>1020</v>
      </c>
      <c r="B1146" s="134"/>
      <c r="C1146" s="134"/>
      <c r="D1146" s="134"/>
      <c r="E1146" s="134"/>
      <c r="F1146" s="202"/>
      <c r="G1146" s="203"/>
      <c r="H1146" s="203"/>
      <c r="I1146" s="203"/>
      <c r="J1146" s="203"/>
      <c r="K1146" s="203"/>
      <c r="L1146" s="203"/>
      <c r="M1146" s="203"/>
      <c r="N1146" s="203"/>
      <c r="O1146" s="203"/>
      <c r="P1146" s="207" t="s">
        <v>739</v>
      </c>
      <c r="Q1146" s="207" t="s">
        <v>645</v>
      </c>
    </row>
    <row r="1147" spans="1:17" ht="30" customHeight="1" x14ac:dyDescent="0.35">
      <c r="A1147" s="208" t="s">
        <v>1021</v>
      </c>
      <c r="B1147" s="134"/>
      <c r="C1147" s="134"/>
      <c r="D1147" s="134"/>
      <c r="E1147" s="134"/>
      <c r="F1147" s="202"/>
      <c r="G1147" s="203"/>
      <c r="H1147" s="203"/>
      <c r="I1147" s="203"/>
      <c r="J1147" s="203"/>
      <c r="K1147" s="203"/>
      <c r="L1147" s="203"/>
      <c r="M1147" s="203"/>
      <c r="N1147" s="203"/>
      <c r="O1147" s="203"/>
      <c r="P1147" s="207" t="s">
        <v>739</v>
      </c>
      <c r="Q1147" s="207" t="s">
        <v>645</v>
      </c>
    </row>
    <row r="1148" spans="1:17" ht="30" customHeight="1" x14ac:dyDescent="0.35">
      <c r="A1148" s="208" t="s">
        <v>1022</v>
      </c>
      <c r="B1148" s="134"/>
      <c r="C1148" s="134"/>
      <c r="D1148" s="134"/>
      <c r="E1148" s="134"/>
      <c r="F1148" s="202"/>
      <c r="G1148" s="203"/>
      <c r="H1148" s="203"/>
      <c r="I1148" s="203"/>
      <c r="J1148" s="203"/>
      <c r="K1148" s="203"/>
      <c r="L1148" s="203"/>
      <c r="M1148" s="203"/>
      <c r="N1148" s="203"/>
      <c r="O1148" s="203"/>
      <c r="P1148" s="207" t="s">
        <v>739</v>
      </c>
      <c r="Q1148" s="207" t="s">
        <v>645</v>
      </c>
    </row>
    <row r="1149" spans="1:17" ht="30" customHeight="1" x14ac:dyDescent="0.35">
      <c r="A1149" s="208" t="s">
        <v>1023</v>
      </c>
      <c r="B1149" s="134"/>
      <c r="C1149" s="134"/>
      <c r="D1149" s="134"/>
      <c r="E1149" s="134"/>
      <c r="F1149" s="202"/>
      <c r="G1149" s="203"/>
      <c r="H1149" s="203"/>
      <c r="I1149" s="203"/>
      <c r="J1149" s="203"/>
      <c r="K1149" s="203"/>
      <c r="L1149" s="203"/>
      <c r="M1149" s="203"/>
      <c r="N1149" s="203"/>
      <c r="O1149" s="203"/>
      <c r="P1149" s="207" t="s">
        <v>739</v>
      </c>
      <c r="Q1149" s="207" t="s">
        <v>645</v>
      </c>
    </row>
    <row r="1150" spans="1:17" ht="30" customHeight="1" x14ac:dyDescent="0.35">
      <c r="A1150" s="208" t="s">
        <v>830</v>
      </c>
      <c r="B1150" s="134"/>
      <c r="C1150" s="134"/>
      <c r="D1150" s="134"/>
      <c r="E1150" s="134"/>
      <c r="F1150" s="202"/>
      <c r="G1150" s="203"/>
      <c r="H1150" s="203"/>
      <c r="I1150" s="203"/>
      <c r="J1150" s="203"/>
      <c r="K1150" s="203"/>
      <c r="L1150" s="203"/>
      <c r="M1150" s="203"/>
      <c r="N1150" s="203"/>
      <c r="O1150" s="203"/>
      <c r="P1150" s="207" t="s">
        <v>674</v>
      </c>
      <c r="Q1150" s="207" t="s">
        <v>645</v>
      </c>
    </row>
    <row r="1151" spans="1:17" ht="30" customHeight="1" x14ac:dyDescent="0.35">
      <c r="A1151" s="208" t="s">
        <v>1037</v>
      </c>
      <c r="B1151" s="134"/>
      <c r="C1151" s="134"/>
      <c r="D1151" s="134"/>
      <c r="E1151" s="134"/>
      <c r="F1151" s="202"/>
      <c r="G1151" s="203"/>
      <c r="H1151" s="203"/>
      <c r="I1151" s="203"/>
      <c r="J1151" s="203"/>
      <c r="K1151" s="203"/>
      <c r="L1151" s="203"/>
      <c r="M1151" s="203"/>
      <c r="N1151" s="203"/>
      <c r="O1151" s="203"/>
      <c r="P1151" s="207" t="s">
        <v>674</v>
      </c>
      <c r="Q1151" s="207" t="s">
        <v>645</v>
      </c>
    </row>
    <row r="1152" spans="1:17" ht="30" customHeight="1" x14ac:dyDescent="0.35">
      <c r="A1152" s="208" t="s">
        <v>831</v>
      </c>
      <c r="B1152" s="134"/>
      <c r="C1152" s="134"/>
      <c r="D1152" s="134"/>
      <c r="E1152" s="134"/>
      <c r="F1152" s="202"/>
      <c r="G1152" s="203"/>
      <c r="H1152" s="203"/>
      <c r="I1152" s="203"/>
      <c r="J1152" s="203"/>
      <c r="K1152" s="203"/>
      <c r="L1152" s="203"/>
      <c r="M1152" s="203"/>
      <c r="N1152" s="203"/>
      <c r="O1152" s="203"/>
      <c r="P1152" s="207" t="s">
        <v>674</v>
      </c>
      <c r="Q1152" s="207" t="s">
        <v>645</v>
      </c>
    </row>
    <row r="1153" spans="1:17" ht="30" customHeight="1" x14ac:dyDescent="0.35">
      <c r="A1153" s="208" t="s">
        <v>1078</v>
      </c>
      <c r="B1153" s="134"/>
      <c r="C1153" s="134"/>
      <c r="D1153" s="134"/>
      <c r="E1153" s="134"/>
      <c r="F1153" s="202"/>
      <c r="G1153" s="203"/>
      <c r="H1153" s="203"/>
      <c r="I1153" s="203"/>
      <c r="J1153" s="203"/>
      <c r="K1153" s="203"/>
      <c r="L1153" s="203"/>
      <c r="M1153" s="203"/>
      <c r="N1153" s="203"/>
      <c r="O1153" s="203"/>
      <c r="P1153" s="207" t="s">
        <v>674</v>
      </c>
      <c r="Q1153" s="207" t="s">
        <v>645</v>
      </c>
    </row>
    <row r="1154" spans="1:17" ht="30" customHeight="1" x14ac:dyDescent="0.35">
      <c r="A1154" s="208" t="s">
        <v>1079</v>
      </c>
      <c r="B1154" s="134"/>
      <c r="C1154" s="134"/>
      <c r="D1154" s="134"/>
      <c r="E1154" s="134"/>
      <c r="F1154" s="202"/>
      <c r="G1154" s="203"/>
      <c r="H1154" s="203"/>
      <c r="I1154" s="203"/>
      <c r="J1154" s="203"/>
      <c r="K1154" s="203"/>
      <c r="L1154" s="203"/>
      <c r="M1154" s="203"/>
      <c r="N1154" s="203"/>
      <c r="O1154" s="203"/>
      <c r="P1154" s="207" t="s">
        <v>674</v>
      </c>
      <c r="Q1154" s="207" t="s">
        <v>645</v>
      </c>
    </row>
    <row r="1155" spans="1:17" ht="30" customHeight="1" x14ac:dyDescent="0.35">
      <c r="A1155" s="208" t="s">
        <v>1024</v>
      </c>
      <c r="B1155" s="134"/>
      <c r="C1155" s="134"/>
      <c r="D1155" s="134"/>
      <c r="E1155" s="134"/>
      <c r="F1155" s="202"/>
      <c r="G1155" s="203"/>
      <c r="H1155" s="203"/>
      <c r="I1155" s="203"/>
      <c r="J1155" s="203"/>
      <c r="K1155" s="203"/>
      <c r="L1155" s="203"/>
      <c r="M1155" s="203"/>
      <c r="N1155" s="203"/>
      <c r="O1155" s="203"/>
      <c r="P1155" s="207" t="s">
        <v>674</v>
      </c>
      <c r="Q1155" s="207" t="s">
        <v>645</v>
      </c>
    </row>
    <row r="1156" spans="1:17" ht="30" customHeight="1" x14ac:dyDescent="0.35">
      <c r="A1156" s="208" t="s">
        <v>1025</v>
      </c>
      <c r="B1156" s="134"/>
      <c r="C1156" s="134"/>
      <c r="D1156" s="134"/>
      <c r="E1156" s="134"/>
      <c r="F1156" s="202"/>
      <c r="G1156" s="203"/>
      <c r="H1156" s="203"/>
      <c r="I1156" s="203"/>
      <c r="J1156" s="203"/>
      <c r="K1156" s="203"/>
      <c r="L1156" s="203"/>
      <c r="M1156" s="203"/>
      <c r="N1156" s="203"/>
      <c r="O1156" s="203"/>
      <c r="P1156" s="207" t="s">
        <v>674</v>
      </c>
      <c r="Q1156" s="207" t="s">
        <v>645</v>
      </c>
    </row>
    <row r="1157" spans="1:17" ht="30" customHeight="1" x14ac:dyDescent="0.35">
      <c r="A1157" s="208" t="s">
        <v>1026</v>
      </c>
      <c r="B1157" s="134"/>
      <c r="C1157" s="134"/>
      <c r="D1157" s="134"/>
      <c r="E1157" s="134"/>
      <c r="F1157" s="202"/>
      <c r="G1157" s="203"/>
      <c r="H1157" s="203"/>
      <c r="I1157" s="203"/>
      <c r="J1157" s="203"/>
      <c r="K1157" s="203"/>
      <c r="L1157" s="203"/>
      <c r="M1157" s="203"/>
      <c r="N1157" s="203"/>
      <c r="O1157" s="203"/>
      <c r="P1157" s="207" t="s">
        <v>674</v>
      </c>
      <c r="Q1157" s="207" t="s">
        <v>645</v>
      </c>
    </row>
    <row r="1158" spans="1:17" ht="30" customHeight="1" x14ac:dyDescent="0.35">
      <c r="A1158" s="208" t="s">
        <v>1077</v>
      </c>
      <c r="B1158" s="134"/>
      <c r="C1158" s="134"/>
      <c r="D1158" s="134"/>
      <c r="E1158" s="134"/>
      <c r="F1158" s="202"/>
      <c r="G1158" s="203"/>
      <c r="H1158" s="203"/>
      <c r="I1158" s="203"/>
      <c r="J1158" s="203"/>
      <c r="K1158" s="203"/>
      <c r="L1158" s="203"/>
      <c r="M1158" s="203"/>
      <c r="N1158" s="203"/>
      <c r="O1158" s="203"/>
      <c r="P1158" s="207" t="s">
        <v>674</v>
      </c>
      <c r="Q1158" s="207" t="s">
        <v>645</v>
      </c>
    </row>
    <row r="1159" spans="1:17" ht="30" customHeight="1" x14ac:dyDescent="0.35">
      <c r="A1159" s="208" t="s">
        <v>1080</v>
      </c>
      <c r="B1159" s="134"/>
      <c r="C1159" s="134"/>
      <c r="D1159" s="134"/>
      <c r="E1159" s="134"/>
      <c r="F1159" s="202"/>
      <c r="G1159" s="203"/>
      <c r="H1159" s="203"/>
      <c r="I1159" s="203"/>
      <c r="J1159" s="203"/>
      <c r="K1159" s="203"/>
      <c r="L1159" s="203"/>
      <c r="M1159" s="203"/>
      <c r="N1159" s="203"/>
      <c r="O1159" s="203"/>
      <c r="P1159" s="207" t="s">
        <v>674</v>
      </c>
      <c r="Q1159" s="207" t="s">
        <v>645</v>
      </c>
    </row>
    <row r="1160" spans="1:17" ht="30" customHeight="1" x14ac:dyDescent="0.35">
      <c r="A1160" s="148"/>
      <c r="B1160" s="128"/>
      <c r="C1160" s="128"/>
      <c r="D1160" s="128"/>
      <c r="E1160" s="128"/>
      <c r="F1160" s="175"/>
      <c r="G1160" s="132"/>
      <c r="H1160" s="132"/>
      <c r="I1160" s="132"/>
      <c r="J1160" s="132"/>
      <c r="K1160" s="132"/>
      <c r="L1160" s="132"/>
      <c r="M1160" s="132"/>
      <c r="N1160" s="132"/>
      <c r="O1160" s="132"/>
      <c r="P1160" s="173"/>
      <c r="Q1160" s="173"/>
    </row>
    <row r="1161" spans="1:17" ht="30" customHeight="1" x14ac:dyDescent="0.35">
      <c r="A1161" s="148"/>
      <c r="B1161" s="128"/>
      <c r="C1161" s="128"/>
      <c r="D1161" s="128"/>
      <c r="E1161" s="128"/>
      <c r="F1161" s="175"/>
      <c r="G1161" s="132"/>
      <c r="H1161" s="132"/>
      <c r="I1161" s="132"/>
      <c r="J1161" s="132"/>
      <c r="K1161" s="132"/>
      <c r="L1161" s="132"/>
      <c r="M1161" s="132"/>
      <c r="N1161" s="132"/>
      <c r="O1161" s="132"/>
      <c r="P1161" s="173"/>
      <c r="Q1161" s="173"/>
    </row>
    <row r="1162" spans="1:17" ht="30" customHeight="1" x14ac:dyDescent="0.35">
      <c r="A1162" s="148"/>
      <c r="B1162" s="128"/>
      <c r="C1162" s="128"/>
      <c r="D1162" s="128"/>
      <c r="E1162" s="128"/>
      <c r="F1162" s="175"/>
      <c r="G1162" s="132"/>
      <c r="H1162" s="132"/>
      <c r="I1162" s="132"/>
      <c r="J1162" s="132"/>
      <c r="K1162" s="132"/>
      <c r="L1162" s="132"/>
      <c r="M1162" s="132"/>
      <c r="N1162" s="132"/>
      <c r="O1162" s="132"/>
      <c r="P1162" s="173"/>
      <c r="Q1162" s="173"/>
    </row>
  </sheetData>
  <autoFilter ref="F16:F636" xr:uid="{00000000-0009-0000-0000-000000000000}"/>
  <dataConsolidate/>
  <mergeCells count="263">
    <mergeCell ref="A2:Q2"/>
    <mergeCell ref="A3:B3"/>
    <mergeCell ref="C3:C5"/>
    <mergeCell ref="D3:D5"/>
    <mergeCell ref="E3:E5"/>
    <mergeCell ref="F3:F5"/>
    <mergeCell ref="G3:Q3"/>
    <mergeCell ref="A4:B5"/>
    <mergeCell ref="G4:I4"/>
    <mergeCell ref="J4:L4"/>
    <mergeCell ref="A29:A33"/>
    <mergeCell ref="B29:B33"/>
    <mergeCell ref="A34:A40"/>
    <mergeCell ref="B34:B40"/>
    <mergeCell ref="A41:A45"/>
    <mergeCell ref="B41:B45"/>
    <mergeCell ref="M4:M5"/>
    <mergeCell ref="N4:P4"/>
    <mergeCell ref="Q4:Q5"/>
    <mergeCell ref="A10:B10"/>
    <mergeCell ref="A19:A28"/>
    <mergeCell ref="B19:B28"/>
    <mergeCell ref="A60:A62"/>
    <mergeCell ref="B60:B62"/>
    <mergeCell ref="A63:A65"/>
    <mergeCell ref="B63:B65"/>
    <mergeCell ref="A67:A73"/>
    <mergeCell ref="B67:B73"/>
    <mergeCell ref="A47:A49"/>
    <mergeCell ref="B47:B49"/>
    <mergeCell ref="A50:A54"/>
    <mergeCell ref="B50:B54"/>
    <mergeCell ref="A56:A59"/>
    <mergeCell ref="B56:B59"/>
    <mergeCell ref="A93:A99"/>
    <mergeCell ref="B93:B99"/>
    <mergeCell ref="A101:A103"/>
    <mergeCell ref="B101:B103"/>
    <mergeCell ref="A107:A110"/>
    <mergeCell ref="B107:B110"/>
    <mergeCell ref="A74:A76"/>
    <mergeCell ref="B74:B76"/>
    <mergeCell ref="A79:A81"/>
    <mergeCell ref="B79:B81"/>
    <mergeCell ref="A83:A91"/>
    <mergeCell ref="B83:B91"/>
    <mergeCell ref="A127:A130"/>
    <mergeCell ref="B127:B130"/>
    <mergeCell ref="A131:A135"/>
    <mergeCell ref="B131:B135"/>
    <mergeCell ref="A136:A138"/>
    <mergeCell ref="B136:B138"/>
    <mergeCell ref="A111:A119"/>
    <mergeCell ref="B111:B119"/>
    <mergeCell ref="A120:A122"/>
    <mergeCell ref="B120:B122"/>
    <mergeCell ref="A123:A125"/>
    <mergeCell ref="B123:B125"/>
    <mergeCell ref="A153:A155"/>
    <mergeCell ref="B153:B155"/>
    <mergeCell ref="A156:A158"/>
    <mergeCell ref="B156:B158"/>
    <mergeCell ref="A159:A161"/>
    <mergeCell ref="B159:B161"/>
    <mergeCell ref="A139:A141"/>
    <mergeCell ref="B139:B141"/>
    <mergeCell ref="A143:A145"/>
    <mergeCell ref="B143:B145"/>
    <mergeCell ref="A148:A152"/>
    <mergeCell ref="B148:B152"/>
    <mergeCell ref="A171:A173"/>
    <mergeCell ref="B171:B173"/>
    <mergeCell ref="A174:A176"/>
    <mergeCell ref="B174:B176"/>
    <mergeCell ref="A178:A182"/>
    <mergeCell ref="B178:B182"/>
    <mergeCell ref="A162:A164"/>
    <mergeCell ref="B162:B164"/>
    <mergeCell ref="A165:A167"/>
    <mergeCell ref="B165:B167"/>
    <mergeCell ref="A168:A170"/>
    <mergeCell ref="B168:B170"/>
    <mergeCell ref="A202:A208"/>
    <mergeCell ref="B202:B208"/>
    <mergeCell ref="A209:A211"/>
    <mergeCell ref="B209:B211"/>
    <mergeCell ref="A212:A216"/>
    <mergeCell ref="B212:B216"/>
    <mergeCell ref="A183:A187"/>
    <mergeCell ref="B183:B187"/>
    <mergeCell ref="A188:A194"/>
    <mergeCell ref="B188:B194"/>
    <mergeCell ref="A195:A201"/>
    <mergeCell ref="B195:B201"/>
    <mergeCell ref="A229:A235"/>
    <mergeCell ref="B229:B235"/>
    <mergeCell ref="A236:A242"/>
    <mergeCell ref="B236:B242"/>
    <mergeCell ref="A243:A250"/>
    <mergeCell ref="B243:B250"/>
    <mergeCell ref="A217:A221"/>
    <mergeCell ref="B217:B221"/>
    <mergeCell ref="A222:A224"/>
    <mergeCell ref="B222:B224"/>
    <mergeCell ref="A225:A227"/>
    <mergeCell ref="B225:B227"/>
    <mergeCell ref="A261:A263"/>
    <mergeCell ref="B261:B263"/>
    <mergeCell ref="A264:A268"/>
    <mergeCell ref="B264:B268"/>
    <mergeCell ref="A269:A273"/>
    <mergeCell ref="B269:B273"/>
    <mergeCell ref="A251:A253"/>
    <mergeCell ref="B251:B253"/>
    <mergeCell ref="A254:A256"/>
    <mergeCell ref="B254:B256"/>
    <mergeCell ref="A258:A260"/>
    <mergeCell ref="B258:B260"/>
    <mergeCell ref="A283:A285"/>
    <mergeCell ref="B283:B285"/>
    <mergeCell ref="A286:A288"/>
    <mergeCell ref="B286:B288"/>
    <mergeCell ref="A289:A291"/>
    <mergeCell ref="B289:B291"/>
    <mergeCell ref="A274:A276"/>
    <mergeCell ref="B274:B276"/>
    <mergeCell ref="A277:A279"/>
    <mergeCell ref="B277:B279"/>
    <mergeCell ref="A280:A282"/>
    <mergeCell ref="B280:B282"/>
    <mergeCell ref="A310:A315"/>
    <mergeCell ref="B310:B315"/>
    <mergeCell ref="A317:A322"/>
    <mergeCell ref="B317:B322"/>
    <mergeCell ref="A324:A326"/>
    <mergeCell ref="B324:B326"/>
    <mergeCell ref="A294:A298"/>
    <mergeCell ref="B294:B298"/>
    <mergeCell ref="A299:A303"/>
    <mergeCell ref="B299:B303"/>
    <mergeCell ref="A304:A308"/>
    <mergeCell ref="B304:B308"/>
    <mergeCell ref="A342:A344"/>
    <mergeCell ref="B342:B344"/>
    <mergeCell ref="A345:A348"/>
    <mergeCell ref="B345:B348"/>
    <mergeCell ref="A349:A355"/>
    <mergeCell ref="B349:B355"/>
    <mergeCell ref="A330:A332"/>
    <mergeCell ref="B330:B332"/>
    <mergeCell ref="A333:A336"/>
    <mergeCell ref="B333:B336"/>
    <mergeCell ref="B337:B340"/>
    <mergeCell ref="A337:A340"/>
    <mergeCell ref="A375:A377"/>
    <mergeCell ref="B375:B377"/>
    <mergeCell ref="A378:A380"/>
    <mergeCell ref="B378:B380"/>
    <mergeCell ref="A381:A383"/>
    <mergeCell ref="B381:B383"/>
    <mergeCell ref="A356:A362"/>
    <mergeCell ref="B356:B362"/>
    <mergeCell ref="A364:A368"/>
    <mergeCell ref="B364:B368"/>
    <mergeCell ref="A371:A374"/>
    <mergeCell ref="B371:B374"/>
    <mergeCell ref="A398:A406"/>
    <mergeCell ref="B398:B406"/>
    <mergeCell ref="A408:A410"/>
    <mergeCell ref="B408:B410"/>
    <mergeCell ref="A411:A414"/>
    <mergeCell ref="B411:B414"/>
    <mergeCell ref="A384:A389"/>
    <mergeCell ref="B384:B389"/>
    <mergeCell ref="A391:A393"/>
    <mergeCell ref="B391:B393"/>
    <mergeCell ref="A394:A397"/>
    <mergeCell ref="B394:B397"/>
    <mergeCell ref="A427:A430"/>
    <mergeCell ref="B427:B430"/>
    <mergeCell ref="A432:A435"/>
    <mergeCell ref="B432:B435"/>
    <mergeCell ref="A436:A438"/>
    <mergeCell ref="B436:B438"/>
    <mergeCell ref="A415:A417"/>
    <mergeCell ref="B415:B417"/>
    <mergeCell ref="A419:A422"/>
    <mergeCell ref="B419:B422"/>
    <mergeCell ref="A423:A426"/>
    <mergeCell ref="B423:B426"/>
    <mergeCell ref="A457:A465"/>
    <mergeCell ref="B457:B465"/>
    <mergeCell ref="A466:A468"/>
    <mergeCell ref="B466:B468"/>
    <mergeCell ref="A470:A473"/>
    <mergeCell ref="B470:B473"/>
    <mergeCell ref="A439:A444"/>
    <mergeCell ref="B439:B444"/>
    <mergeCell ref="A445:A448"/>
    <mergeCell ref="B445:B448"/>
    <mergeCell ref="A449:A456"/>
    <mergeCell ref="B449:B456"/>
    <mergeCell ref="A485:A487"/>
    <mergeCell ref="B485:B487"/>
    <mergeCell ref="A489:A491"/>
    <mergeCell ref="B489:B491"/>
    <mergeCell ref="A493:A498"/>
    <mergeCell ref="B493:B498"/>
    <mergeCell ref="A474:A477"/>
    <mergeCell ref="B474:B477"/>
    <mergeCell ref="A479:A481"/>
    <mergeCell ref="B479:B481"/>
    <mergeCell ref="A482:A484"/>
    <mergeCell ref="B482:B484"/>
    <mergeCell ref="A516:A520"/>
    <mergeCell ref="B516:B520"/>
    <mergeCell ref="A521:A525"/>
    <mergeCell ref="B521:B525"/>
    <mergeCell ref="A526:A530"/>
    <mergeCell ref="B526:B530"/>
    <mergeCell ref="A500:A502"/>
    <mergeCell ref="B500:B502"/>
    <mergeCell ref="A506:A510"/>
    <mergeCell ref="B506:B510"/>
    <mergeCell ref="A511:A515"/>
    <mergeCell ref="B511:B515"/>
    <mergeCell ref="A547:A551"/>
    <mergeCell ref="B547:B551"/>
    <mergeCell ref="A552:A556"/>
    <mergeCell ref="B552:B556"/>
    <mergeCell ref="A557:A561"/>
    <mergeCell ref="B557:B561"/>
    <mergeCell ref="A531:A535"/>
    <mergeCell ref="B531:B535"/>
    <mergeCell ref="A537:A541"/>
    <mergeCell ref="B537:B541"/>
    <mergeCell ref="A542:A546"/>
    <mergeCell ref="B542:B546"/>
    <mergeCell ref="A583:A587"/>
    <mergeCell ref="B583:B587"/>
    <mergeCell ref="A588:A590"/>
    <mergeCell ref="B588:B590"/>
    <mergeCell ref="A591:A598"/>
    <mergeCell ref="B591:B598"/>
    <mergeCell ref="A563:A566"/>
    <mergeCell ref="B563:B566"/>
    <mergeCell ref="A568:A571"/>
    <mergeCell ref="B568:B571"/>
    <mergeCell ref="A575:A582"/>
    <mergeCell ref="B575:B582"/>
    <mergeCell ref="A822:O822"/>
    <mergeCell ref="A612:A614"/>
    <mergeCell ref="B612:B614"/>
    <mergeCell ref="A616:A618"/>
    <mergeCell ref="B616:B618"/>
    <mergeCell ref="A817:O817"/>
    <mergeCell ref="A818:O818"/>
    <mergeCell ref="A599:A603"/>
    <mergeCell ref="B599:B603"/>
    <mergeCell ref="A604:A606"/>
    <mergeCell ref="B604:B606"/>
    <mergeCell ref="A607:A611"/>
    <mergeCell ref="B607:B611"/>
  </mergeCells>
  <conditionalFormatting sqref="D109:D110 D113:D116 D118:D119 D122:D125 D266:D268 D276">
    <cfRule type="cellIs" dxfId="3" priority="1" operator="greaterThan">
      <formula>0</formula>
    </cfRule>
    <cfRule type="cellIs" dxfId="2" priority="2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32" fitToHeight="0" pageOrder="overThenDown" orientation="landscape" r:id="rId1"/>
  <headerFooter>
    <oddHeader>&amp;R&amp;26Príloha č. 2</oddHeader>
    <oddFooter>&amp;C&amp;22&amp;P/&amp;N</oddFooter>
  </headerFooter>
  <rowBreaks count="18" manualBreakCount="18">
    <brk id="65" max="16" man="1"/>
    <brk id="125" max="16" man="1"/>
    <brk id="187" max="16" man="1"/>
    <brk id="256" max="16" man="1"/>
    <brk id="322" max="16" man="1"/>
    <brk id="380" max="16" man="1"/>
    <brk id="417" max="16" man="1"/>
    <brk id="468" max="16" man="1"/>
    <brk id="515" max="16" man="1"/>
    <brk id="571" max="16" man="1"/>
    <brk id="636" max="16" man="1"/>
    <brk id="698" max="16" man="1"/>
    <brk id="761" max="16" man="1"/>
    <brk id="822" max="16" man="1"/>
    <brk id="890" max="16" man="1"/>
    <brk id="958" max="16" man="1"/>
    <brk id="1026" max="16" man="1"/>
    <brk id="109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S636"/>
  <sheetViews>
    <sheetView view="pageBreakPreview" topLeftCell="A2" zoomScale="40" zoomScaleNormal="55" zoomScaleSheetLayoutView="40" workbookViewId="0">
      <pane xSplit="6" ySplit="4" topLeftCell="G511" activePane="bottomRight" state="frozen"/>
      <selection activeCell="H25" sqref="H25:H30"/>
      <selection pane="topRight" activeCell="H25" sqref="H25:H30"/>
      <selection pane="bottomLeft" activeCell="H25" sqref="H25:H30"/>
      <selection pane="bottomRight" activeCell="X616" sqref="X616"/>
    </sheetView>
  </sheetViews>
  <sheetFormatPr defaultColWidth="10.1796875" defaultRowHeight="30" customHeight="1" x14ac:dyDescent="0.35"/>
  <cols>
    <col min="1" max="1" width="16.26953125" style="181" customWidth="1"/>
    <col min="2" max="2" width="98" style="1" customWidth="1"/>
    <col min="3" max="5" width="34.81640625" style="187" customWidth="1"/>
    <col min="6" max="6" width="35" style="182" customWidth="1"/>
    <col min="7" max="14" width="34.81640625" style="183" customWidth="1"/>
    <col min="15" max="17" width="35.1796875" style="183" customWidth="1"/>
    <col min="18" max="19" width="10.1796875" style="1"/>
    <col min="20" max="21" width="11.81640625" style="1" bestFit="1" customWidth="1"/>
    <col min="22" max="23" width="10.1796875" style="1"/>
    <col min="24" max="24" width="11" style="1" bestFit="1" customWidth="1"/>
    <col min="25" max="16384" width="10.1796875" style="1"/>
  </cols>
  <sheetData>
    <row r="1" spans="1:45" ht="30" hidden="1" customHeight="1" x14ac:dyDescent="0.35">
      <c r="A1" s="1"/>
      <c r="B1" s="2"/>
      <c r="C1" s="184"/>
      <c r="D1" s="184"/>
      <c r="E1" s="18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45" ht="78" customHeight="1" x14ac:dyDescent="0.35">
      <c r="A2" s="274" t="s">
        <v>1033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45" s="5" customFormat="1" ht="155.15" customHeight="1" x14ac:dyDescent="0.35">
      <c r="A3" s="275" t="s">
        <v>806</v>
      </c>
      <c r="B3" s="275"/>
      <c r="C3" s="271" t="s">
        <v>1</v>
      </c>
      <c r="D3" s="271" t="s">
        <v>2</v>
      </c>
      <c r="E3" s="271" t="s">
        <v>3</v>
      </c>
      <c r="F3" s="271" t="s">
        <v>4</v>
      </c>
      <c r="G3" s="276" t="s">
        <v>5</v>
      </c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45" s="5" customFormat="1" ht="34.5" customHeight="1" x14ac:dyDescent="0.35">
      <c r="A4" s="271" t="s">
        <v>6</v>
      </c>
      <c r="B4" s="271"/>
      <c r="C4" s="271"/>
      <c r="D4" s="271"/>
      <c r="E4" s="271"/>
      <c r="F4" s="271"/>
      <c r="G4" s="271" t="s">
        <v>7</v>
      </c>
      <c r="H4" s="271"/>
      <c r="I4" s="271"/>
      <c r="J4" s="271" t="s">
        <v>8</v>
      </c>
      <c r="K4" s="271"/>
      <c r="L4" s="271"/>
      <c r="M4" s="271" t="s">
        <v>9</v>
      </c>
      <c r="N4" s="271" t="s">
        <v>10</v>
      </c>
      <c r="O4" s="271"/>
      <c r="P4" s="271"/>
      <c r="Q4" s="272" t="s">
        <v>11</v>
      </c>
    </row>
    <row r="5" spans="1:45" ht="34.5" x14ac:dyDescent="0.35">
      <c r="A5" s="271"/>
      <c r="B5" s="271"/>
      <c r="C5" s="271"/>
      <c r="D5" s="271"/>
      <c r="E5" s="271"/>
      <c r="F5" s="271"/>
      <c r="G5" s="6" t="s">
        <v>12</v>
      </c>
      <c r="H5" s="6" t="s">
        <v>13</v>
      </c>
      <c r="I5" s="6" t="s">
        <v>14</v>
      </c>
      <c r="J5" s="7" t="s">
        <v>12</v>
      </c>
      <c r="K5" s="6" t="s">
        <v>13</v>
      </c>
      <c r="L5" s="6" t="s">
        <v>14</v>
      </c>
      <c r="M5" s="271"/>
      <c r="N5" s="6" t="s">
        <v>12</v>
      </c>
      <c r="O5" s="6" t="s">
        <v>13</v>
      </c>
      <c r="P5" s="6" t="s">
        <v>14</v>
      </c>
      <c r="Q5" s="272"/>
    </row>
    <row r="6" spans="1:45" s="12" customFormat="1" ht="30" customHeight="1" x14ac:dyDescent="0.35">
      <c r="A6" s="8" t="s">
        <v>15</v>
      </c>
      <c r="B6" s="8"/>
      <c r="C6" s="10">
        <f>PSK_AT_verzia_4_0!C6-PSK_AT_verzia_3_5!C6</f>
        <v>0</v>
      </c>
      <c r="D6" s="10">
        <f>PSK_AT_verzia_4_0!D6-PSK_AT_verzia_3_5!D6</f>
        <v>0</v>
      </c>
      <c r="E6" s="10">
        <f>PSK_AT_verzia_4_0!E6-PSK_AT_verzia_3_5!E6</f>
        <v>0</v>
      </c>
      <c r="F6" s="10">
        <f>PSK_AT_verzia_4_0!F6-PSK_AT_verzia_3_5!F6</f>
        <v>0</v>
      </c>
      <c r="G6" s="10">
        <f>PSK_AT_verzia_4_0!G6-PSK_AT_verzia_3_5!G6</f>
        <v>0</v>
      </c>
      <c r="H6" s="10">
        <f>PSK_AT_verzia_4_0!H6-PSK_AT_verzia_3_5!H6</f>
        <v>0</v>
      </c>
      <c r="I6" s="10">
        <f>PSK_AT_verzia_4_0!I6-PSK_AT_verzia_3_5!I6</f>
        <v>0</v>
      </c>
      <c r="J6" s="10">
        <f>PSK_AT_verzia_4_0!J6-PSK_AT_verzia_3_5!J6</f>
        <v>-36061000</v>
      </c>
      <c r="K6" s="10">
        <f>PSK_AT_verzia_4_0!K6-PSK_AT_verzia_3_5!K6</f>
        <v>-36061000</v>
      </c>
      <c r="L6" s="10">
        <f>PSK_AT_verzia_4_0!L6-PSK_AT_verzia_3_5!L6</f>
        <v>0</v>
      </c>
      <c r="M6" s="10">
        <f>PSK_AT_verzia_4_0!M6-PSK_AT_verzia_3_5!M6</f>
        <v>0</v>
      </c>
      <c r="N6" s="10">
        <f>PSK_AT_verzia_4_0!N6-PSK_AT_verzia_3_5!N6</f>
        <v>36061000</v>
      </c>
      <c r="O6" s="10">
        <f>PSK_AT_verzia_4_0!O6-PSK_AT_verzia_3_5!O6</f>
        <v>36061000</v>
      </c>
      <c r="P6" s="10">
        <f>PSK_AT_verzia_4_0!P6-PSK_AT_verzia_3_5!P6</f>
        <v>0</v>
      </c>
      <c r="Q6" s="10">
        <f>PSK_AT_verzia_4_0!Q6-PSK_AT_verzia_3_5!Q6</f>
        <v>0</v>
      </c>
    </row>
    <row r="7" spans="1:45" s="5" customFormat="1" ht="30" customHeight="1" x14ac:dyDescent="0.35">
      <c r="A7" s="13" t="s">
        <v>16</v>
      </c>
      <c r="B7" s="13"/>
      <c r="C7" s="15">
        <f>PSK_AT_verzia_4_0!C7-PSK_AT_verzia_3_5!C7</f>
        <v>0</v>
      </c>
      <c r="D7" s="15">
        <f>PSK_AT_verzia_4_0!D7-PSK_AT_verzia_3_5!D7</f>
        <v>0</v>
      </c>
      <c r="E7" s="15">
        <f>PSK_AT_verzia_4_0!E7-PSK_AT_verzia_3_5!E7</f>
        <v>0</v>
      </c>
      <c r="F7" s="15">
        <f>PSK_AT_verzia_4_0!F7-PSK_AT_verzia_3_5!F7</f>
        <v>0</v>
      </c>
      <c r="G7" s="18">
        <f>PSK_AT_verzia_4_0!G7-PSK_AT_verzia_3_5!G7</f>
        <v>0</v>
      </c>
      <c r="H7" s="15">
        <f>PSK_AT_verzia_4_0!H7-PSK_AT_verzia_3_5!H7</f>
        <v>0</v>
      </c>
      <c r="I7" s="15">
        <f>PSK_AT_verzia_4_0!I7-PSK_AT_verzia_3_5!I7</f>
        <v>0</v>
      </c>
      <c r="J7" s="18">
        <f>PSK_AT_verzia_4_0!J7-PSK_AT_verzia_3_5!J7</f>
        <v>-1262135</v>
      </c>
      <c r="K7" s="15">
        <f>PSK_AT_verzia_4_0!K7-PSK_AT_verzia_3_5!K7</f>
        <v>-1262135</v>
      </c>
      <c r="L7" s="15">
        <f>PSK_AT_verzia_4_0!L7-PSK_AT_verzia_3_5!L7</f>
        <v>0</v>
      </c>
      <c r="M7" s="18">
        <f>PSK_AT_verzia_4_0!M7-PSK_AT_verzia_3_5!M7</f>
        <v>0</v>
      </c>
      <c r="N7" s="18">
        <f>PSK_AT_verzia_4_0!N7-PSK_AT_verzia_3_5!N7</f>
        <v>1262135</v>
      </c>
      <c r="O7" s="15">
        <f>PSK_AT_verzia_4_0!O7-PSK_AT_verzia_3_5!O7</f>
        <v>1262135</v>
      </c>
      <c r="P7" s="15">
        <f>PSK_AT_verzia_4_0!P7-PSK_AT_verzia_3_5!P7</f>
        <v>0</v>
      </c>
      <c r="Q7" s="18">
        <f>PSK_AT_verzia_4_0!Q7-PSK_AT_verzia_3_5!Q7</f>
        <v>0</v>
      </c>
    </row>
    <row r="8" spans="1:45" s="12" customFormat="1" ht="30" customHeight="1" x14ac:dyDescent="0.35">
      <c r="A8" s="8" t="s">
        <v>17</v>
      </c>
      <c r="B8" s="8"/>
      <c r="C8" s="10">
        <f>PSK_AT_verzia_4_0!C8-PSK_AT_verzia_3_5!C8</f>
        <v>0</v>
      </c>
      <c r="D8" s="10">
        <f>PSK_AT_verzia_4_0!D8-PSK_AT_verzia_3_5!D8</f>
        <v>0</v>
      </c>
      <c r="E8" s="10">
        <f>PSK_AT_verzia_4_0!E8-PSK_AT_verzia_3_5!E8</f>
        <v>25500000</v>
      </c>
      <c r="F8" s="10">
        <f>PSK_AT_verzia_4_0!F8-PSK_AT_verzia_3_5!F8</f>
        <v>0</v>
      </c>
      <c r="G8" s="10">
        <f>PSK_AT_verzia_4_0!G8-PSK_AT_verzia_3_5!G8</f>
        <v>0</v>
      </c>
      <c r="H8" s="10">
        <f>PSK_AT_verzia_4_0!H8-PSK_AT_verzia_3_5!H8</f>
        <v>0</v>
      </c>
      <c r="I8" s="10">
        <f>PSK_AT_verzia_4_0!I8-PSK_AT_verzia_3_5!I8</f>
        <v>0</v>
      </c>
      <c r="J8" s="10">
        <f>PSK_AT_verzia_4_0!J8-PSK_AT_verzia_3_5!J8</f>
        <v>-34798865</v>
      </c>
      <c r="K8" s="10">
        <f>PSK_AT_verzia_4_0!K8-PSK_AT_verzia_3_5!K8</f>
        <v>-34798865</v>
      </c>
      <c r="L8" s="10">
        <f>PSK_AT_verzia_4_0!L8-PSK_AT_verzia_3_5!L8</f>
        <v>0</v>
      </c>
      <c r="M8" s="10">
        <f>PSK_AT_verzia_4_0!M8-PSK_AT_verzia_3_5!M8</f>
        <v>0</v>
      </c>
      <c r="N8" s="10">
        <f>PSK_AT_verzia_4_0!N8-PSK_AT_verzia_3_5!N8</f>
        <v>34798865</v>
      </c>
      <c r="O8" s="10">
        <f>PSK_AT_verzia_4_0!O8-PSK_AT_verzia_3_5!O8</f>
        <v>34798865</v>
      </c>
      <c r="P8" s="10">
        <f>PSK_AT_verzia_4_0!P8-PSK_AT_verzia_3_5!P8</f>
        <v>0</v>
      </c>
      <c r="Q8" s="10">
        <f>PSK_AT_verzia_4_0!Q8-PSK_AT_verzia_3_5!Q8</f>
        <v>0</v>
      </c>
    </row>
    <row r="9" spans="1:45" s="28" customFormat="1" ht="30" hidden="1" customHeight="1" x14ac:dyDescent="0.35">
      <c r="A9" s="21" t="s">
        <v>18</v>
      </c>
      <c r="B9" s="21"/>
      <c r="C9" s="23">
        <f>PSK_AT_verzia_4_0!C9-PSK_AT_verzia_3_5!C9</f>
        <v>0</v>
      </c>
      <c r="D9" s="23">
        <f>PSK_AT_verzia_4_0!D9-PSK_AT_verzia_3_5!D9</f>
        <v>0</v>
      </c>
      <c r="E9" s="23">
        <f>PSK_AT_verzia_4_0!E9-PSK_AT_verzia_3_5!E9</f>
        <v>0</v>
      </c>
      <c r="F9" s="197">
        <f>PSK_AT_verzia_4_0!F9-PSK_AT_verzia_3_5!F9</f>
        <v>0</v>
      </c>
      <c r="G9" s="26" t="e">
        <f>PSK_AT_verzia_4_0!G9-PSK_AT_verzia_3_5!G9</f>
        <v>#REF!</v>
      </c>
      <c r="H9" s="197" t="e">
        <f>PSK_AT_verzia_4_0!H9-PSK_AT_verzia_3_5!H9</f>
        <v>#REF!</v>
      </c>
      <c r="I9" s="197" t="e">
        <f>PSK_AT_verzia_4_0!I9-PSK_AT_verzia_3_5!I9</f>
        <v>#REF!</v>
      </c>
      <c r="J9" s="26" t="e">
        <f>PSK_AT_verzia_4_0!J9-PSK_AT_verzia_3_5!J9</f>
        <v>#REF!</v>
      </c>
      <c r="K9" s="197" t="e">
        <f>PSK_AT_verzia_4_0!K9-PSK_AT_verzia_3_5!K9</f>
        <v>#REF!</v>
      </c>
      <c r="L9" s="197" t="e">
        <f>PSK_AT_verzia_4_0!L9-PSK_AT_verzia_3_5!L9</f>
        <v>#REF!</v>
      </c>
      <c r="M9" s="26">
        <f>PSK_AT_verzia_4_0!M9-PSK_AT_verzia_3_5!M9</f>
        <v>-114850000</v>
      </c>
      <c r="N9" s="26">
        <f>PSK_AT_verzia_4_0!N9-PSK_AT_verzia_3_5!N9</f>
        <v>32420865</v>
      </c>
      <c r="O9" s="197">
        <f>PSK_AT_verzia_4_0!O9-PSK_AT_verzia_3_5!O9</f>
        <v>33370865</v>
      </c>
      <c r="P9" s="197">
        <f>PSK_AT_verzia_4_0!P9-PSK_AT_verzia_3_5!P9</f>
        <v>-950000</v>
      </c>
      <c r="Q9" s="26">
        <f>PSK_AT_verzia_4_0!Q9-PSK_AT_verzia_3_5!Q9</f>
        <v>-5500000</v>
      </c>
    </row>
    <row r="10" spans="1:45" s="28" customFormat="1" ht="30" hidden="1" customHeight="1" x14ac:dyDescent="0.35">
      <c r="A10" s="273"/>
      <c r="B10" s="273"/>
      <c r="C10" s="23">
        <f>PSK_AT_verzia_4_0!C10-PSK_AT_verzia_3_5!C10</f>
        <v>0</v>
      </c>
      <c r="D10" s="23">
        <f>PSK_AT_verzia_4_0!D10-PSK_AT_verzia_3_5!D10</f>
        <v>0</v>
      </c>
      <c r="E10" s="23">
        <f>PSK_AT_verzia_4_0!E10-PSK_AT_verzia_3_5!E10</f>
        <v>0</v>
      </c>
      <c r="F10" s="197">
        <f>PSK_AT_verzia_4_0!F10-PSK_AT_verzia_3_5!F10</f>
        <v>0</v>
      </c>
      <c r="G10" s="26">
        <f>PSK_AT_verzia_4_0!G10-PSK_AT_verzia_3_5!G10</f>
        <v>0</v>
      </c>
      <c r="H10" s="197">
        <f>PSK_AT_verzia_4_0!H10-PSK_AT_verzia_3_5!H10</f>
        <v>0</v>
      </c>
      <c r="I10" s="197">
        <f>PSK_AT_verzia_4_0!I10-PSK_AT_verzia_3_5!I10</f>
        <v>0</v>
      </c>
      <c r="J10" s="26">
        <f>PSK_AT_verzia_4_0!J10-PSK_AT_verzia_3_5!J10</f>
        <v>0</v>
      </c>
      <c r="K10" s="197">
        <f>PSK_AT_verzia_4_0!K10-PSK_AT_verzia_3_5!K10</f>
        <v>0</v>
      </c>
      <c r="L10" s="197">
        <f>PSK_AT_verzia_4_0!L10-PSK_AT_verzia_3_5!L10</f>
        <v>0</v>
      </c>
      <c r="M10" s="26">
        <f>PSK_AT_verzia_4_0!M10-PSK_AT_verzia_3_5!M10</f>
        <v>0</v>
      </c>
      <c r="N10" s="26">
        <f>PSK_AT_verzia_4_0!N10-PSK_AT_verzia_3_5!N10</f>
        <v>0</v>
      </c>
      <c r="O10" s="197">
        <f>PSK_AT_verzia_4_0!O10-PSK_AT_verzia_3_5!O10</f>
        <v>0</v>
      </c>
      <c r="P10" s="197">
        <f>PSK_AT_verzia_4_0!P10-PSK_AT_verzia_3_5!P10</f>
        <v>0</v>
      </c>
      <c r="Q10" s="26">
        <f>PSK_AT_verzia_4_0!Q10-PSK_AT_verzia_3_5!Q10</f>
        <v>0</v>
      </c>
    </row>
    <row r="11" spans="1:45" s="34" customFormat="1" ht="30" customHeight="1" x14ac:dyDescent="0.35">
      <c r="A11" s="277" t="s">
        <v>19</v>
      </c>
      <c r="B11" s="278"/>
      <c r="C11" s="196">
        <f>PSK_AT_verzia_4_0!C11-PSK_AT_verzia_3_5!C11</f>
        <v>0</v>
      </c>
      <c r="D11" s="196">
        <f>PSK_AT_verzia_4_0!D11-PSK_AT_verzia_3_5!D11</f>
        <v>0</v>
      </c>
      <c r="E11" s="196">
        <f>PSK_AT_verzia_4_0!E11-PSK_AT_verzia_3_5!E11</f>
        <v>0</v>
      </c>
      <c r="F11" s="196">
        <f>PSK_AT_verzia_4_0!F11-PSK_AT_verzia_3_5!F11</f>
        <v>0</v>
      </c>
      <c r="G11" s="18">
        <f>PSK_AT_verzia_4_0!G11-PSK_AT_verzia_3_5!G11</f>
        <v>0</v>
      </c>
      <c r="H11" s="196">
        <f>PSK_AT_verzia_4_0!H11-PSK_AT_verzia_3_5!H11</f>
        <v>0</v>
      </c>
      <c r="I11" s="196">
        <f>PSK_AT_verzia_4_0!I11-PSK_AT_verzia_3_5!I11</f>
        <v>0</v>
      </c>
      <c r="J11" s="18">
        <f>PSK_AT_verzia_4_0!J11-PSK_AT_verzia_3_5!J11</f>
        <v>0</v>
      </c>
      <c r="K11" s="196">
        <f>PSK_AT_verzia_4_0!K11-PSK_AT_verzia_3_5!K11</f>
        <v>0</v>
      </c>
      <c r="L11" s="196">
        <f>PSK_AT_verzia_4_0!L11-PSK_AT_verzia_3_5!L11</f>
        <v>0</v>
      </c>
      <c r="M11" s="18">
        <f>PSK_AT_verzia_4_0!M11-PSK_AT_verzia_3_5!M11</f>
        <v>0</v>
      </c>
      <c r="N11" s="18">
        <f>PSK_AT_verzia_4_0!N11-PSK_AT_verzia_3_5!N11</f>
        <v>0</v>
      </c>
      <c r="O11" s="196">
        <f>PSK_AT_verzia_4_0!O11-PSK_AT_verzia_3_5!O11</f>
        <v>0</v>
      </c>
      <c r="P11" s="196">
        <f>PSK_AT_verzia_4_0!P11-PSK_AT_verzia_3_5!P11</f>
        <v>0</v>
      </c>
      <c r="Q11" s="18">
        <f>PSK_AT_verzia_4_0!Q11-PSK_AT_verzia_3_5!Q11</f>
        <v>0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</row>
    <row r="12" spans="1:45" s="34" customFormat="1" ht="30" customHeight="1" x14ac:dyDescent="0.35">
      <c r="A12" s="277" t="s">
        <v>20</v>
      </c>
      <c r="B12" s="278"/>
      <c r="C12" s="196">
        <f>PSK_AT_verzia_4_0!C12-PSK_AT_verzia_3_5!C12</f>
        <v>5.1505486100256181E-4</v>
      </c>
      <c r="D12" s="196">
        <f>PSK_AT_verzia_4_0!D12-PSK_AT_verzia_3_5!D12</f>
        <v>0</v>
      </c>
      <c r="E12" s="196">
        <f>PSK_AT_verzia_4_0!E12-PSK_AT_verzia_3_5!E12</f>
        <v>0</v>
      </c>
      <c r="F12" s="196">
        <f>PSK_AT_verzia_4_0!F12-PSK_AT_verzia_3_5!F12</f>
        <v>0</v>
      </c>
      <c r="G12" s="18">
        <f>PSK_AT_verzia_4_0!G12-PSK_AT_verzia_3_5!G12</f>
        <v>-162251</v>
      </c>
      <c r="H12" s="196">
        <f>PSK_AT_verzia_4_0!H12-PSK_AT_verzia_3_5!H12</f>
        <v>-162251</v>
      </c>
      <c r="I12" s="196">
        <f>PSK_AT_verzia_4_0!I12-PSK_AT_verzia_3_5!I12</f>
        <v>0</v>
      </c>
      <c r="J12" s="18">
        <f>PSK_AT_verzia_4_0!J12-PSK_AT_verzia_3_5!J12</f>
        <v>-162251</v>
      </c>
      <c r="K12" s="196">
        <f>PSK_AT_verzia_4_0!K12-PSK_AT_verzia_3_5!K12</f>
        <v>-162251</v>
      </c>
      <c r="L12" s="196">
        <f>PSK_AT_verzia_4_0!L12-PSK_AT_verzia_3_5!L12</f>
        <v>0</v>
      </c>
      <c r="M12" s="18">
        <f>PSK_AT_verzia_4_0!M12-PSK_AT_verzia_3_5!M12</f>
        <v>0</v>
      </c>
      <c r="N12" s="18">
        <f>PSK_AT_verzia_4_0!N12-PSK_AT_verzia_3_5!N12</f>
        <v>0</v>
      </c>
      <c r="O12" s="196">
        <f>PSK_AT_verzia_4_0!O12-PSK_AT_verzia_3_5!O12</f>
        <v>0</v>
      </c>
      <c r="P12" s="196">
        <f>PSK_AT_verzia_4_0!P12-PSK_AT_verzia_3_5!P12</f>
        <v>0</v>
      </c>
      <c r="Q12" s="18">
        <f>PSK_AT_verzia_4_0!Q12-PSK_AT_verzia_3_5!Q12</f>
        <v>0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45" s="34" customFormat="1" ht="30" customHeight="1" x14ac:dyDescent="0.35">
      <c r="A13" s="277" t="s">
        <v>21</v>
      </c>
      <c r="B13" s="278"/>
      <c r="C13" s="196">
        <f>PSK_AT_verzia_4_0!C13-PSK_AT_verzia_3_5!C13</f>
        <v>0</v>
      </c>
      <c r="D13" s="196">
        <f>PSK_AT_verzia_4_0!D13-PSK_AT_verzia_3_5!D13</f>
        <v>0</v>
      </c>
      <c r="E13" s="196">
        <f>PSK_AT_verzia_4_0!E13-PSK_AT_verzia_3_5!E13</f>
        <v>0</v>
      </c>
      <c r="F13" s="196">
        <f>PSK_AT_verzia_4_0!F13-PSK_AT_verzia_3_5!F13</f>
        <v>0</v>
      </c>
      <c r="G13" s="18">
        <f>PSK_AT_verzia_4_0!G13-PSK_AT_verzia_3_5!G13</f>
        <v>162251</v>
      </c>
      <c r="H13" s="196">
        <f>PSK_AT_verzia_4_0!H13-PSK_AT_verzia_3_5!H13</f>
        <v>162251</v>
      </c>
      <c r="I13" s="196">
        <f>PSK_AT_verzia_4_0!I13-PSK_AT_verzia_3_5!I13</f>
        <v>0</v>
      </c>
      <c r="J13" s="18">
        <f>PSK_AT_verzia_4_0!J13-PSK_AT_verzia_3_5!J13</f>
        <v>162251</v>
      </c>
      <c r="K13" s="196">
        <f>PSK_AT_verzia_4_0!K13-PSK_AT_verzia_3_5!K13</f>
        <v>162251</v>
      </c>
      <c r="L13" s="196">
        <f>PSK_AT_verzia_4_0!L13-PSK_AT_verzia_3_5!L13</f>
        <v>0</v>
      </c>
      <c r="M13" s="18">
        <f>PSK_AT_verzia_4_0!M13-PSK_AT_verzia_3_5!M13</f>
        <v>0</v>
      </c>
      <c r="N13" s="18">
        <f>PSK_AT_verzia_4_0!N13-PSK_AT_verzia_3_5!N13</f>
        <v>0</v>
      </c>
      <c r="O13" s="196">
        <f>PSK_AT_verzia_4_0!O13-PSK_AT_verzia_3_5!O13</f>
        <v>0</v>
      </c>
      <c r="P13" s="196">
        <f>PSK_AT_verzia_4_0!P13-PSK_AT_verzia_3_5!P13</f>
        <v>0</v>
      </c>
      <c r="Q13" s="18">
        <f>PSK_AT_verzia_4_0!Q13-PSK_AT_verzia_3_5!Q13</f>
        <v>0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</row>
    <row r="14" spans="1:45" s="34" customFormat="1" ht="30" customHeight="1" x14ac:dyDescent="0.35">
      <c r="A14" s="277" t="s">
        <v>22</v>
      </c>
      <c r="B14" s="278"/>
      <c r="C14" s="196">
        <f>PSK_AT_verzia_4_0!C14-PSK_AT_verzia_3_5!C14</f>
        <v>0</v>
      </c>
      <c r="D14" s="196">
        <f>PSK_AT_verzia_4_0!D14-PSK_AT_verzia_3_5!D14</f>
        <v>0</v>
      </c>
      <c r="E14" s="196">
        <f>PSK_AT_verzia_4_0!E14-PSK_AT_verzia_3_5!E14</f>
        <v>2.0248163182457479E-3</v>
      </c>
      <c r="F14" s="196">
        <f>PSK_AT_verzia_4_0!F14-PSK_AT_verzia_3_5!F14</f>
        <v>0</v>
      </c>
      <c r="G14" s="18">
        <f>PSK_AT_verzia_4_0!G14-PSK_AT_verzia_3_5!G14</f>
        <v>25500000</v>
      </c>
      <c r="H14" s="196">
        <f>PSK_AT_verzia_4_0!H14-PSK_AT_verzia_3_5!H14</f>
        <v>17500000</v>
      </c>
      <c r="I14" s="196">
        <f>PSK_AT_verzia_4_0!I14-PSK_AT_verzia_3_5!I14</f>
        <v>2500000</v>
      </c>
      <c r="J14" s="18">
        <f>PSK_AT_verzia_4_0!J14-PSK_AT_verzia_3_5!J14</f>
        <v>20000000</v>
      </c>
      <c r="K14" s="196">
        <f>PSK_AT_verzia_4_0!K14-PSK_AT_verzia_3_5!K14</f>
        <v>17500000</v>
      </c>
      <c r="L14" s="196">
        <f>PSK_AT_verzia_4_0!L14-PSK_AT_verzia_3_5!L14</f>
        <v>2500000</v>
      </c>
      <c r="M14" s="18">
        <f>PSK_AT_verzia_4_0!M14-PSK_AT_verzia_3_5!M14</f>
        <v>0</v>
      </c>
      <c r="N14" s="18">
        <f>PSK_AT_verzia_4_0!N14-PSK_AT_verzia_3_5!N14</f>
        <v>0</v>
      </c>
      <c r="O14" s="196">
        <f>PSK_AT_verzia_4_0!O14-PSK_AT_verzia_3_5!O14</f>
        <v>0</v>
      </c>
      <c r="P14" s="196">
        <f>PSK_AT_verzia_4_0!P14-PSK_AT_verzia_3_5!P14</f>
        <v>0</v>
      </c>
      <c r="Q14" s="18">
        <f>PSK_AT_verzia_4_0!Q14-PSK_AT_verzia_3_5!Q14</f>
        <v>5500000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45" s="34" customFormat="1" ht="30" customHeight="1" x14ac:dyDescent="0.35">
      <c r="A15" s="277" t="s">
        <v>23</v>
      </c>
      <c r="B15" s="278"/>
      <c r="C15" s="196">
        <f>PSK_AT_verzia_4_0!C15-PSK_AT_verzia_3_5!C15</f>
        <v>0</v>
      </c>
      <c r="D15" s="196">
        <f>PSK_AT_verzia_4_0!D15-PSK_AT_verzia_3_5!D15</f>
        <v>0</v>
      </c>
      <c r="E15" s="196">
        <f>PSK_AT_verzia_4_0!E15-PSK_AT_verzia_3_5!E15</f>
        <v>0</v>
      </c>
      <c r="F15" s="196">
        <f>PSK_AT_verzia_4_0!F15-PSK_AT_verzia_3_5!F15</f>
        <v>0</v>
      </c>
      <c r="G15" s="18">
        <f>PSK_AT_verzia_4_0!G15-PSK_AT_verzia_3_5!G15</f>
        <v>0</v>
      </c>
      <c r="H15" s="196">
        <f>PSK_AT_verzia_4_0!H15-PSK_AT_verzia_3_5!H15</f>
        <v>0</v>
      </c>
      <c r="I15" s="196">
        <f>PSK_AT_verzia_4_0!I15-PSK_AT_verzia_3_5!I15</f>
        <v>0</v>
      </c>
      <c r="J15" s="18">
        <f>PSK_AT_verzia_4_0!J15-PSK_AT_verzia_3_5!J15</f>
        <v>0</v>
      </c>
      <c r="K15" s="196">
        <f>PSK_AT_verzia_4_0!K15-PSK_AT_verzia_3_5!K15</f>
        <v>0</v>
      </c>
      <c r="L15" s="196">
        <f>PSK_AT_verzia_4_0!L15-PSK_AT_verzia_3_5!L15</f>
        <v>0</v>
      </c>
      <c r="M15" s="18">
        <f>PSK_AT_verzia_4_0!M15-PSK_AT_verzia_3_5!M15</f>
        <v>0</v>
      </c>
      <c r="N15" s="18">
        <f>PSK_AT_verzia_4_0!N15-PSK_AT_verzia_3_5!N15</f>
        <v>0</v>
      </c>
      <c r="O15" s="196">
        <f>PSK_AT_verzia_4_0!O15-PSK_AT_verzia_3_5!O15</f>
        <v>0</v>
      </c>
      <c r="P15" s="196">
        <f>PSK_AT_verzia_4_0!P15-PSK_AT_verzia_3_5!P15</f>
        <v>0</v>
      </c>
      <c r="Q15" s="18">
        <f>PSK_AT_verzia_4_0!Q15-PSK_AT_verzia_3_5!Q15</f>
        <v>0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45" s="44" customFormat="1" ht="78" x14ac:dyDescent="0.35">
      <c r="A16" s="39" t="s">
        <v>24</v>
      </c>
      <c r="B16" s="40" t="s">
        <v>25</v>
      </c>
      <c r="C16" s="41">
        <f>PSK_AT_verzia_4_0!C16-PSK_AT_verzia_3_5!C16</f>
        <v>-17396294</v>
      </c>
      <c r="D16" s="41">
        <f>PSK_AT_verzia_4_0!D16-PSK_AT_verzia_3_5!D16</f>
        <v>0</v>
      </c>
      <c r="E16" s="41">
        <f>PSK_AT_verzia_4_0!E16-PSK_AT_verzia_3_5!E16</f>
        <v>0</v>
      </c>
      <c r="F16" s="42">
        <f>PSK_AT_verzia_4_0!F16-PSK_AT_verzia_3_5!F16</f>
        <v>0</v>
      </c>
      <c r="G16" s="42">
        <f>PSK_AT_verzia_4_0!G16-PSK_AT_verzia_3_5!G16</f>
        <v>-280106502</v>
      </c>
      <c r="H16" s="42">
        <f>PSK_AT_verzia_4_0!H16-PSK_AT_verzia_3_5!H16</f>
        <v>-284638394</v>
      </c>
      <c r="I16" s="42">
        <f>PSK_AT_verzia_4_0!I16-PSK_AT_verzia_3_5!I16</f>
        <v>4531892</v>
      </c>
      <c r="J16" s="42">
        <f>PSK_AT_verzia_4_0!J16-PSK_AT_verzia_3_5!J16</f>
        <v>-280106502</v>
      </c>
      <c r="K16" s="42">
        <f>PSK_AT_verzia_4_0!K16-PSK_AT_verzia_3_5!K16</f>
        <v>-284638394</v>
      </c>
      <c r="L16" s="42">
        <f>PSK_AT_verzia_4_0!L16-PSK_AT_verzia_3_5!L16</f>
        <v>4531892</v>
      </c>
      <c r="M16" s="42">
        <f>PSK_AT_verzia_4_0!M16-PSK_AT_verzia_3_5!M16</f>
        <v>0</v>
      </c>
      <c r="N16" s="42">
        <f>PSK_AT_verzia_4_0!N16-PSK_AT_verzia_3_5!N16</f>
        <v>0</v>
      </c>
      <c r="O16" s="42">
        <f>PSK_AT_verzia_4_0!O16-PSK_AT_verzia_3_5!O16</f>
        <v>0</v>
      </c>
      <c r="P16" s="42">
        <f>PSK_AT_verzia_4_0!P16-PSK_AT_verzia_3_5!P16</f>
        <v>0</v>
      </c>
      <c r="Q16" s="42">
        <f>PSK_AT_verzia_4_0!Q16-PSK_AT_verzia_3_5!Q16</f>
        <v>0</v>
      </c>
    </row>
    <row r="17" spans="1:17" s="44" customFormat="1" ht="30" customHeight="1" x14ac:dyDescent="0.35">
      <c r="A17" s="45" t="s">
        <v>26</v>
      </c>
      <c r="B17" s="46" t="s">
        <v>27</v>
      </c>
      <c r="C17" s="47">
        <f>PSK_AT_verzia_4_0!C17-PSK_AT_verzia_3_5!C17</f>
        <v>-17396294</v>
      </c>
      <c r="D17" s="47">
        <f>PSK_AT_verzia_4_0!D17-PSK_AT_verzia_3_5!D17</f>
        <v>0</v>
      </c>
      <c r="E17" s="47">
        <f>PSK_AT_verzia_4_0!E17-PSK_AT_verzia_3_5!E17</f>
        <v>0</v>
      </c>
      <c r="F17" s="48">
        <f>PSK_AT_verzia_4_0!F17-[8]PSK_Verzia_1_11!F17</f>
        <v>0</v>
      </c>
      <c r="G17" s="48">
        <f>PSK_AT_verzia_4_0!G17-PSK_AT_verzia_3_5!G17</f>
        <v>-297080559</v>
      </c>
      <c r="H17" s="48">
        <f>PSK_AT_verzia_4_0!H17-PSK_AT_verzia_3_5!H17</f>
        <v>-278871505</v>
      </c>
      <c r="I17" s="48">
        <f>PSK_AT_verzia_4_0!I17-PSK_AT_verzia_3_5!I17</f>
        <v>-18209054</v>
      </c>
      <c r="J17" s="48">
        <f>PSK_AT_verzia_4_0!J17-PSK_AT_verzia_3_5!J17</f>
        <v>-297080559</v>
      </c>
      <c r="K17" s="48">
        <f>PSK_AT_verzia_4_0!K17-PSK_AT_verzia_3_5!K17</f>
        <v>-278871505</v>
      </c>
      <c r="L17" s="48">
        <f>PSK_AT_verzia_4_0!L17-PSK_AT_verzia_3_5!L17</f>
        <v>-18209054</v>
      </c>
      <c r="M17" s="48">
        <f>PSK_AT_verzia_4_0!M17-PSK_AT_verzia_3_5!M17</f>
        <v>0</v>
      </c>
      <c r="N17" s="48">
        <f>PSK_AT_verzia_4_0!N17-PSK_AT_verzia_3_5!N17</f>
        <v>0</v>
      </c>
      <c r="O17" s="48">
        <f>PSK_AT_verzia_4_0!O17-PSK_AT_verzia_3_5!O17</f>
        <v>0</v>
      </c>
      <c r="P17" s="48">
        <f>PSK_AT_verzia_4_0!P17-PSK_AT_verzia_3_5!P17</f>
        <v>0</v>
      </c>
      <c r="Q17" s="48">
        <f>PSK_AT_verzia_4_0!Q17-PSK_AT_verzia_3_5!Q17</f>
        <v>0</v>
      </c>
    </row>
    <row r="18" spans="1:17" s="55" customFormat="1" ht="52" x14ac:dyDescent="0.35">
      <c r="A18" s="50" t="s">
        <v>28</v>
      </c>
      <c r="B18" s="51" t="s">
        <v>29</v>
      </c>
      <c r="C18" s="52">
        <f>PSK_AT_verzia_4_0!C18-PSK_AT_verzia_3_5!C18</f>
        <v>-17174558</v>
      </c>
      <c r="D18" s="52">
        <f>PSK_AT_verzia_4_0!D18-PSK_AT_verzia_3_5!D18</f>
        <v>0</v>
      </c>
      <c r="E18" s="52">
        <f>PSK_AT_verzia_4_0!E18-PSK_AT_verzia_3_5!E18</f>
        <v>0</v>
      </c>
      <c r="F18" s="54" t="s">
        <v>30</v>
      </c>
      <c r="G18" s="52">
        <f>PSK_AT_verzia_4_0!G18-PSK_AT_verzia_3_5!G18</f>
        <v>-115589370</v>
      </c>
      <c r="H18" s="52">
        <f>PSK_AT_verzia_4_0!H18-PSK_AT_verzia_3_5!H18</f>
        <v>-105249625</v>
      </c>
      <c r="I18" s="52">
        <f>PSK_AT_verzia_4_0!I18-PSK_AT_verzia_3_5!I18</f>
        <v>-10339745</v>
      </c>
      <c r="J18" s="52">
        <f>PSK_AT_verzia_4_0!J18-PSK_AT_verzia_3_5!J18</f>
        <v>-115589370</v>
      </c>
      <c r="K18" s="52">
        <f>PSK_AT_verzia_4_0!K18-PSK_AT_verzia_3_5!K18</f>
        <v>-105249625</v>
      </c>
      <c r="L18" s="52">
        <f>PSK_AT_verzia_4_0!L18-PSK_AT_verzia_3_5!L18</f>
        <v>-10339745</v>
      </c>
      <c r="M18" s="52">
        <f>PSK_AT_verzia_4_0!M18-PSK_AT_verzia_3_5!M18</f>
        <v>0</v>
      </c>
      <c r="N18" s="52">
        <f>PSK_AT_verzia_4_0!N18-PSK_AT_verzia_3_5!N18</f>
        <v>0</v>
      </c>
      <c r="O18" s="52">
        <f>PSK_AT_verzia_4_0!O18-PSK_AT_verzia_3_5!O18</f>
        <v>0</v>
      </c>
      <c r="P18" s="52">
        <f>PSK_AT_verzia_4_0!P18-PSK_AT_verzia_3_5!P18</f>
        <v>0</v>
      </c>
      <c r="Q18" s="52">
        <f>PSK_AT_verzia_4_0!Q18-PSK_AT_verzia_3_5!Q18</f>
        <v>0</v>
      </c>
    </row>
    <row r="19" spans="1:17" ht="28" customHeight="1" x14ac:dyDescent="0.35">
      <c r="A19" s="214" t="s">
        <v>31</v>
      </c>
      <c r="B19" s="215" t="s">
        <v>32</v>
      </c>
      <c r="C19" s="57">
        <f>PSK_AT_verzia_4_0!C19-PSK_AT_verzia_3_5!C19</f>
        <v>-17174558</v>
      </c>
      <c r="D19" s="57">
        <f>PSK_AT_verzia_4_0!D19-PSK_AT_verzia_3_5!D19</f>
        <v>0</v>
      </c>
      <c r="E19" s="57">
        <f>PSK_AT_verzia_4_0!E19-PSK_AT_verzia_3_5!E19</f>
        <v>0</v>
      </c>
      <c r="F19" s="59" t="s">
        <v>33</v>
      </c>
      <c r="G19" s="58">
        <f>PSK_AT_verzia_4_0!G19-PSK_AT_verzia_3_5!G19</f>
        <v>1118012</v>
      </c>
      <c r="H19" s="58">
        <f>PSK_AT_verzia_4_0!H19-PSK_AT_verzia_3_5!H19</f>
        <v>24669313</v>
      </c>
      <c r="I19" s="58">
        <f>PSK_AT_verzia_4_0!I19-PSK_AT_verzia_3_5!I19</f>
        <v>-23551301</v>
      </c>
      <c r="J19" s="58">
        <f>PSK_AT_verzia_4_0!J19-PSK_AT_verzia_3_5!J19</f>
        <v>1118012</v>
      </c>
      <c r="K19" s="58">
        <f>PSK_AT_verzia_4_0!K19-PSK_AT_verzia_3_5!K19</f>
        <v>24669313</v>
      </c>
      <c r="L19" s="58">
        <f>PSK_AT_verzia_4_0!L19-PSK_AT_verzia_3_5!L19</f>
        <v>-23551301</v>
      </c>
      <c r="M19" s="58">
        <f>PSK_AT_verzia_4_0!M19-PSK_AT_verzia_3_5!M19</f>
        <v>0</v>
      </c>
      <c r="N19" s="58">
        <f>PSK_AT_verzia_4_0!N19-PSK_AT_verzia_3_5!N19</f>
        <v>0</v>
      </c>
      <c r="O19" s="58">
        <f>PSK_AT_verzia_4_0!O19-PSK_AT_verzia_3_5!O19</f>
        <v>0</v>
      </c>
      <c r="P19" s="58">
        <f>PSK_AT_verzia_4_0!P19-PSK_AT_verzia_3_5!P19</f>
        <v>0</v>
      </c>
      <c r="Q19" s="58">
        <f>PSK_AT_verzia_4_0!Q19-PSK_AT_verzia_3_5!Q19</f>
        <v>0</v>
      </c>
    </row>
    <row r="20" spans="1:17" s="62" customFormat="1" ht="28" customHeight="1" x14ac:dyDescent="0.35">
      <c r="A20" s="214"/>
      <c r="B20" s="215"/>
      <c r="C20" s="60">
        <f>PSK_AT_verzia_4_0!C20-PSK_AT_verzia_3_5!C20</f>
        <v>0</v>
      </c>
      <c r="D20" s="60">
        <f>PSK_AT_verzia_4_0!D20-PSK_AT_verzia_3_5!D20</f>
        <v>0</v>
      </c>
      <c r="E20" s="60">
        <f>PSK_AT_verzia_4_0!E20-PSK_AT_verzia_3_5!E20</f>
        <v>0</v>
      </c>
      <c r="F20" s="61" t="s">
        <v>34</v>
      </c>
      <c r="G20" s="60">
        <f>PSK_AT_verzia_4_0!G20-PSK_AT_verzia_3_5!G20</f>
        <v>19071689</v>
      </c>
      <c r="H20" s="60">
        <f>PSK_AT_verzia_4_0!H20-PSK_AT_verzia_3_5!H20</f>
        <v>37622990</v>
      </c>
      <c r="I20" s="60">
        <f>PSK_AT_verzia_4_0!I20-PSK_AT_verzia_3_5!I20</f>
        <v>-18551301</v>
      </c>
      <c r="J20" s="60">
        <f>PSK_AT_verzia_4_0!J20-PSK_AT_verzia_3_5!J20</f>
        <v>19071689</v>
      </c>
      <c r="K20" s="60">
        <f>PSK_AT_verzia_4_0!K20-PSK_AT_verzia_3_5!K20</f>
        <v>37622990</v>
      </c>
      <c r="L20" s="60">
        <f>PSK_AT_verzia_4_0!L20-PSK_AT_verzia_3_5!L20</f>
        <v>-18551301</v>
      </c>
      <c r="M20" s="60">
        <f>PSK_AT_verzia_4_0!M20-PSK_AT_verzia_3_5!M20</f>
        <v>0</v>
      </c>
      <c r="N20" s="60">
        <f>PSK_AT_verzia_4_0!N20-PSK_AT_verzia_3_5!N20</f>
        <v>0</v>
      </c>
      <c r="O20" s="60">
        <f>PSK_AT_verzia_4_0!O20-PSK_AT_verzia_3_5!O20</f>
        <v>0</v>
      </c>
      <c r="P20" s="60">
        <f>PSK_AT_verzia_4_0!P20-PSK_AT_verzia_3_5!P20</f>
        <v>0</v>
      </c>
      <c r="Q20" s="60">
        <f>PSK_AT_verzia_4_0!Q20-PSK_AT_verzia_3_5!Q20</f>
        <v>0</v>
      </c>
    </row>
    <row r="21" spans="1:17" s="62" customFormat="1" ht="28" customHeight="1" x14ac:dyDescent="0.35">
      <c r="A21" s="214"/>
      <c r="B21" s="215"/>
      <c r="C21" s="200">
        <f>PSK_AT_verzia_4_0!C21-PSK_AT_verzia_3_5!C21</f>
        <v>0</v>
      </c>
      <c r="D21" s="200">
        <f>PSK_AT_verzia_4_0!D21-PSK_AT_verzia_3_5!D21</f>
        <v>0</v>
      </c>
      <c r="E21" s="200">
        <f>PSK_AT_verzia_4_0!E21-PSK_AT_verzia_3_5!E21</f>
        <v>0</v>
      </c>
      <c r="F21" s="66" t="s">
        <v>35</v>
      </c>
      <c r="G21" s="67">
        <f>PSK_AT_verzia_4_0!G21-PSK_AT_verzia_3_5!G21</f>
        <v>19071689</v>
      </c>
      <c r="H21" s="67">
        <f>PSK_AT_verzia_4_0!H21-PSK_AT_verzia_3_5!H21</f>
        <v>37622990</v>
      </c>
      <c r="I21" s="67">
        <f>PSK_AT_verzia_4_0!I21-PSK_AT_verzia_3_5!I21</f>
        <v>-18551301</v>
      </c>
      <c r="J21" s="67">
        <f>PSK_AT_verzia_4_0!J21-PSK_AT_verzia_3_5!J21</f>
        <v>19071689</v>
      </c>
      <c r="K21" s="67">
        <f>PSK_AT_verzia_4_0!K21-PSK_AT_verzia_3_5!K21</f>
        <v>37622990</v>
      </c>
      <c r="L21" s="67">
        <f>PSK_AT_verzia_4_0!L21-PSK_AT_verzia_3_5!L21</f>
        <v>-18551301</v>
      </c>
      <c r="M21" s="67">
        <f>PSK_AT_verzia_4_0!M21-PSK_AT_verzia_3_5!M21</f>
        <v>0</v>
      </c>
      <c r="N21" s="67">
        <f>PSK_AT_verzia_4_0!N21-PSK_AT_verzia_3_5!N21</f>
        <v>0</v>
      </c>
      <c r="O21" s="67">
        <f>PSK_AT_verzia_4_0!O21-PSK_AT_verzia_3_5!O21</f>
        <v>0</v>
      </c>
      <c r="P21" s="67">
        <f>PSK_AT_verzia_4_0!P21-PSK_AT_verzia_3_5!P21</f>
        <v>0</v>
      </c>
      <c r="Q21" s="67">
        <f>PSK_AT_verzia_4_0!Q21-PSK_AT_verzia_3_5!Q21</f>
        <v>0</v>
      </c>
    </row>
    <row r="22" spans="1:17" s="62" customFormat="1" ht="28" customHeight="1" x14ac:dyDescent="0.35">
      <c r="A22" s="214"/>
      <c r="B22" s="215"/>
      <c r="C22" s="99">
        <f>PSK_AT_verzia_4_0!C22-PSK_AT_verzia_3_5!C22</f>
        <v>-17174558</v>
      </c>
      <c r="D22" s="60">
        <f>PSK_AT_verzia_4_0!D22-PSK_AT_verzia_3_5!D22</f>
        <v>0</v>
      </c>
      <c r="E22" s="60">
        <f>PSK_AT_verzia_4_0!E22-PSK_AT_verzia_3_5!E22</f>
        <v>0</v>
      </c>
      <c r="F22" s="61" t="s">
        <v>36</v>
      </c>
      <c r="G22" s="60">
        <f>PSK_AT_verzia_4_0!G22-PSK_AT_verzia_3_5!G22</f>
        <v>-17174558</v>
      </c>
      <c r="H22" s="60">
        <f>PSK_AT_verzia_4_0!H22-PSK_AT_verzia_3_5!H22</f>
        <v>-17174558</v>
      </c>
      <c r="I22" s="60">
        <f>PSK_AT_verzia_4_0!I22-PSK_AT_verzia_3_5!I22</f>
        <v>0</v>
      </c>
      <c r="J22" s="60">
        <f>PSK_AT_verzia_4_0!J22-PSK_AT_verzia_3_5!J22</f>
        <v>-17174558</v>
      </c>
      <c r="K22" s="60">
        <f>PSK_AT_verzia_4_0!K22-PSK_AT_verzia_3_5!K22</f>
        <v>-17174558</v>
      </c>
      <c r="L22" s="60">
        <f>PSK_AT_verzia_4_0!L22-PSK_AT_verzia_3_5!L22</f>
        <v>0</v>
      </c>
      <c r="M22" s="60">
        <f>PSK_AT_verzia_4_0!M22-PSK_AT_verzia_3_5!M22</f>
        <v>0</v>
      </c>
      <c r="N22" s="60">
        <f>PSK_AT_verzia_4_0!N22-PSK_AT_verzia_3_5!N22</f>
        <v>0</v>
      </c>
      <c r="O22" s="60">
        <f>PSK_AT_verzia_4_0!O22-PSK_AT_verzia_3_5!O22</f>
        <v>0</v>
      </c>
      <c r="P22" s="60">
        <f>PSK_AT_verzia_4_0!P22-PSK_AT_verzia_3_5!P22</f>
        <v>0</v>
      </c>
      <c r="Q22" s="60">
        <f>PSK_AT_verzia_4_0!Q22-PSK_AT_verzia_3_5!Q22</f>
        <v>0</v>
      </c>
    </row>
    <row r="23" spans="1:17" s="62" customFormat="1" ht="28" customHeight="1" x14ac:dyDescent="0.35">
      <c r="A23" s="214"/>
      <c r="B23" s="215"/>
      <c r="C23" s="200">
        <f>PSK_AT_verzia_4_0!C23-PSK_AT_verzia_3_5!C23</f>
        <v>0</v>
      </c>
      <c r="D23" s="200">
        <f>PSK_AT_verzia_4_0!D23-PSK_AT_verzia_3_5!D23</f>
        <v>0</v>
      </c>
      <c r="E23" s="200">
        <f>PSK_AT_verzia_4_0!E23-PSK_AT_verzia_3_5!E23</f>
        <v>0</v>
      </c>
      <c r="F23" s="66" t="s">
        <v>37</v>
      </c>
      <c r="G23" s="67">
        <f>PSK_AT_verzia_4_0!G23-PSK_AT_verzia_3_5!G23</f>
        <v>0</v>
      </c>
      <c r="H23" s="67">
        <f>PSK_AT_verzia_4_0!H23-PSK_AT_verzia_3_5!H23</f>
        <v>0</v>
      </c>
      <c r="I23" s="67">
        <f>PSK_AT_verzia_4_0!I23-PSK_AT_verzia_3_5!I23</f>
        <v>0</v>
      </c>
      <c r="J23" s="67">
        <f>PSK_AT_verzia_4_0!J23-PSK_AT_verzia_3_5!J23</f>
        <v>0</v>
      </c>
      <c r="K23" s="67">
        <f>PSK_AT_verzia_4_0!K23-PSK_AT_verzia_3_5!K23</f>
        <v>0</v>
      </c>
      <c r="L23" s="67">
        <f>PSK_AT_verzia_4_0!L23-PSK_AT_verzia_3_5!L23</f>
        <v>0</v>
      </c>
      <c r="M23" s="67">
        <f>PSK_AT_verzia_4_0!M23-PSK_AT_verzia_3_5!M23</f>
        <v>0</v>
      </c>
      <c r="N23" s="67">
        <f>PSK_AT_verzia_4_0!N23-PSK_AT_verzia_3_5!N23</f>
        <v>0</v>
      </c>
      <c r="O23" s="67">
        <f>PSK_AT_verzia_4_0!O23-PSK_AT_verzia_3_5!O23</f>
        <v>0</v>
      </c>
      <c r="P23" s="67">
        <f>PSK_AT_verzia_4_0!P23-PSK_AT_verzia_3_5!P23</f>
        <v>0</v>
      </c>
      <c r="Q23" s="67">
        <f>PSK_AT_verzia_4_0!Q23-PSK_AT_verzia_3_5!Q23</f>
        <v>0</v>
      </c>
    </row>
    <row r="24" spans="1:17" s="62" customFormat="1" ht="28" customHeight="1" x14ac:dyDescent="0.35">
      <c r="A24" s="214"/>
      <c r="B24" s="215"/>
      <c r="C24" s="200">
        <f>PSK_AT_verzia_4_0!C24-PSK_AT_verzia_3_5!C24</f>
        <v>0</v>
      </c>
      <c r="D24" s="200">
        <f>PSK_AT_verzia_4_0!D24-PSK_AT_verzia_3_5!D24</f>
        <v>0</v>
      </c>
      <c r="E24" s="200">
        <f>PSK_AT_verzia_4_0!E24-PSK_AT_verzia_3_5!E24</f>
        <v>0</v>
      </c>
      <c r="F24" s="66" t="s">
        <v>38</v>
      </c>
      <c r="G24" s="71">
        <f>PSK_AT_verzia_4_0!G24-PSK_AT_verzia_3_5!G24</f>
        <v>-11667316</v>
      </c>
      <c r="H24" s="71">
        <f>PSK_AT_verzia_4_0!H24-PSK_AT_verzia_3_5!H24</f>
        <v>-11667316</v>
      </c>
      <c r="I24" s="71">
        <f>PSK_AT_verzia_4_0!I24-PSK_AT_verzia_3_5!I24</f>
        <v>0</v>
      </c>
      <c r="J24" s="71">
        <f>PSK_AT_verzia_4_0!J24-PSK_AT_verzia_3_5!J24</f>
        <v>-11667316</v>
      </c>
      <c r="K24" s="71">
        <f>PSK_AT_verzia_4_0!K24-PSK_AT_verzia_3_5!K24</f>
        <v>-11667316</v>
      </c>
      <c r="L24" s="71">
        <f>PSK_AT_verzia_4_0!L24-PSK_AT_verzia_3_5!L24</f>
        <v>0</v>
      </c>
      <c r="M24" s="71">
        <f>PSK_AT_verzia_4_0!M24-PSK_AT_verzia_3_5!M24</f>
        <v>0</v>
      </c>
      <c r="N24" s="71">
        <f>PSK_AT_verzia_4_0!N24-PSK_AT_verzia_3_5!N24</f>
        <v>0</v>
      </c>
      <c r="O24" s="71">
        <f>PSK_AT_verzia_4_0!O24-PSK_AT_verzia_3_5!O24</f>
        <v>0</v>
      </c>
      <c r="P24" s="71">
        <f>PSK_AT_verzia_4_0!P24-PSK_AT_verzia_3_5!P24</f>
        <v>0</v>
      </c>
      <c r="Q24" s="71">
        <f>PSK_AT_verzia_4_0!Q24-PSK_AT_verzia_3_5!Q24</f>
        <v>0</v>
      </c>
    </row>
    <row r="25" spans="1:17" s="62" customFormat="1" ht="28" customHeight="1" x14ac:dyDescent="0.35">
      <c r="A25" s="214"/>
      <c r="B25" s="215"/>
      <c r="C25" s="200">
        <f>PSK_AT_verzia_4_0!C25-PSK_AT_verzia_3_5!C25</f>
        <v>0</v>
      </c>
      <c r="D25" s="200">
        <f>PSK_AT_verzia_4_0!D25-PSK_AT_verzia_3_5!D25</f>
        <v>0</v>
      </c>
      <c r="E25" s="200">
        <f>PSK_AT_verzia_4_0!E25-PSK_AT_verzia_3_5!E25</f>
        <v>0</v>
      </c>
      <c r="F25" s="66" t="s">
        <v>39</v>
      </c>
      <c r="G25" s="71">
        <f>PSK_AT_verzia_4_0!G25-PSK_AT_verzia_3_5!G25</f>
        <v>-5507242</v>
      </c>
      <c r="H25" s="71">
        <f>PSK_AT_verzia_4_0!H25-PSK_AT_verzia_3_5!H25</f>
        <v>-5507242</v>
      </c>
      <c r="I25" s="71">
        <f>PSK_AT_verzia_4_0!I25-PSK_AT_verzia_3_5!I25</f>
        <v>0</v>
      </c>
      <c r="J25" s="71">
        <f>PSK_AT_verzia_4_0!J25-PSK_AT_verzia_3_5!J25</f>
        <v>-5507242</v>
      </c>
      <c r="K25" s="71">
        <f>PSK_AT_verzia_4_0!K25-PSK_AT_verzia_3_5!K25</f>
        <v>-5507242</v>
      </c>
      <c r="L25" s="71">
        <f>PSK_AT_verzia_4_0!L25-PSK_AT_verzia_3_5!L25</f>
        <v>0</v>
      </c>
      <c r="M25" s="71">
        <f>PSK_AT_verzia_4_0!M25-PSK_AT_verzia_3_5!M25</f>
        <v>0</v>
      </c>
      <c r="N25" s="71">
        <f>PSK_AT_verzia_4_0!N25-PSK_AT_verzia_3_5!N25</f>
        <v>0</v>
      </c>
      <c r="O25" s="71">
        <f>PSK_AT_verzia_4_0!O25-PSK_AT_verzia_3_5!O25</f>
        <v>0</v>
      </c>
      <c r="P25" s="71">
        <f>PSK_AT_verzia_4_0!P25-PSK_AT_verzia_3_5!P25</f>
        <v>0</v>
      </c>
      <c r="Q25" s="71">
        <f>PSK_AT_verzia_4_0!Q25-PSK_AT_verzia_3_5!Q25</f>
        <v>0</v>
      </c>
    </row>
    <row r="26" spans="1:17" s="62" customFormat="1" ht="28" customHeight="1" x14ac:dyDescent="0.35">
      <c r="A26" s="214"/>
      <c r="B26" s="215"/>
      <c r="C26" s="60">
        <f>PSK_AT_verzia_4_0!C26-PSK_AT_verzia_3_5!C26</f>
        <v>0</v>
      </c>
      <c r="D26" s="60">
        <f>PSK_AT_verzia_4_0!D26-PSK_AT_verzia_3_5!D26</f>
        <v>0</v>
      </c>
      <c r="E26" s="72">
        <f>PSK_AT_verzia_4_0!E26-PSK_AT_verzia_3_5!E26</f>
        <v>0</v>
      </c>
      <c r="F26" s="61" t="s">
        <v>40</v>
      </c>
      <c r="G26" s="60">
        <f>PSK_AT_verzia_4_0!G26-PSK_AT_verzia_3_5!G26</f>
        <v>-779119</v>
      </c>
      <c r="H26" s="60">
        <f>PSK_AT_verzia_4_0!H26-PSK_AT_verzia_3_5!H26</f>
        <v>4220881</v>
      </c>
      <c r="I26" s="60">
        <f>PSK_AT_verzia_4_0!I26-PSK_AT_verzia_3_5!I26</f>
        <v>-5000000</v>
      </c>
      <c r="J26" s="60">
        <f>PSK_AT_verzia_4_0!J26-PSK_AT_verzia_3_5!J26</f>
        <v>-779119</v>
      </c>
      <c r="K26" s="60">
        <f>PSK_AT_verzia_4_0!K26-PSK_AT_verzia_3_5!K26</f>
        <v>4220881</v>
      </c>
      <c r="L26" s="60">
        <f>PSK_AT_verzia_4_0!L26-PSK_AT_verzia_3_5!L26</f>
        <v>-5000000</v>
      </c>
      <c r="M26" s="60">
        <f>PSK_AT_verzia_4_0!M26-PSK_AT_verzia_3_5!M26</f>
        <v>0</v>
      </c>
      <c r="N26" s="60">
        <f>PSK_AT_verzia_4_0!N26-PSK_AT_verzia_3_5!N26</f>
        <v>0</v>
      </c>
      <c r="O26" s="60">
        <f>PSK_AT_verzia_4_0!O26-PSK_AT_verzia_3_5!O26</f>
        <v>0</v>
      </c>
      <c r="P26" s="60">
        <f>PSK_AT_verzia_4_0!P26-PSK_AT_verzia_3_5!P26</f>
        <v>0</v>
      </c>
      <c r="Q26" s="60">
        <f>PSK_AT_verzia_4_0!Q26-PSK_AT_verzia_3_5!Q26</f>
        <v>0</v>
      </c>
    </row>
    <row r="27" spans="1:17" s="62" customFormat="1" ht="28" customHeight="1" x14ac:dyDescent="0.35">
      <c r="A27" s="214"/>
      <c r="B27" s="215"/>
      <c r="C27" s="200">
        <f>PSK_AT_verzia_4_0!C27-PSK_AT_verzia_3_5!C27</f>
        <v>0</v>
      </c>
      <c r="D27" s="200">
        <f>PSK_AT_verzia_4_0!D27-PSK_AT_verzia_3_5!D27</f>
        <v>0</v>
      </c>
      <c r="E27" s="200">
        <f>PSK_AT_verzia_4_0!E27-PSK_AT_verzia_3_5!E27</f>
        <v>0</v>
      </c>
      <c r="F27" s="66" t="s">
        <v>41</v>
      </c>
      <c r="G27" s="67">
        <f>PSK_AT_verzia_4_0!G27-PSK_AT_verzia_3_5!G27</f>
        <v>-779119</v>
      </c>
      <c r="H27" s="67">
        <f>PSK_AT_verzia_4_0!H27-PSK_AT_verzia_3_5!H27</f>
        <v>4220881</v>
      </c>
      <c r="I27" s="67">
        <f>PSK_AT_verzia_4_0!I27-PSK_AT_verzia_3_5!I27</f>
        <v>-5000000</v>
      </c>
      <c r="J27" s="67">
        <f>PSK_AT_verzia_4_0!J27-PSK_AT_verzia_3_5!J27</f>
        <v>-779119</v>
      </c>
      <c r="K27" s="67">
        <f>PSK_AT_verzia_4_0!K27-PSK_AT_verzia_3_5!K27</f>
        <v>4220881</v>
      </c>
      <c r="L27" s="67">
        <f>PSK_AT_verzia_4_0!L27-PSK_AT_verzia_3_5!L27</f>
        <v>-5000000</v>
      </c>
      <c r="M27" s="67">
        <f>PSK_AT_verzia_4_0!M27-PSK_AT_verzia_3_5!M27</f>
        <v>0</v>
      </c>
      <c r="N27" s="67">
        <f>PSK_AT_verzia_4_0!N27-PSK_AT_verzia_3_5!N27</f>
        <v>0</v>
      </c>
      <c r="O27" s="67">
        <f>PSK_AT_verzia_4_0!O27-PSK_AT_verzia_3_5!O27</f>
        <v>0</v>
      </c>
      <c r="P27" s="67">
        <f>PSK_AT_verzia_4_0!P27-PSK_AT_verzia_3_5!P27</f>
        <v>0</v>
      </c>
      <c r="Q27" s="67">
        <f>PSK_AT_verzia_4_0!Q27-PSK_AT_verzia_3_5!Q27</f>
        <v>0</v>
      </c>
    </row>
    <row r="28" spans="1:17" s="62" customFormat="1" ht="28" customHeight="1" x14ac:dyDescent="0.35">
      <c r="A28" s="214"/>
      <c r="B28" s="215"/>
      <c r="C28" s="200">
        <f>PSK_AT_verzia_4_0!C28-PSK_AT_verzia_3_5!C28</f>
        <v>0</v>
      </c>
      <c r="D28" s="200">
        <f>PSK_AT_verzia_4_0!D28-PSK_AT_verzia_3_5!D28</f>
        <v>0</v>
      </c>
      <c r="E28" s="200">
        <f>PSK_AT_verzia_4_0!E28-PSK_AT_verzia_3_5!E28</f>
        <v>0</v>
      </c>
      <c r="F28" s="66" t="s">
        <v>42</v>
      </c>
      <c r="G28" s="74">
        <f>PSK_AT_verzia_4_0!G28-PSK_AT_verzia_3_5!G28</f>
        <v>0</v>
      </c>
      <c r="H28" s="74">
        <f>PSK_AT_verzia_4_0!H28-PSK_AT_verzia_3_5!H28</f>
        <v>0</v>
      </c>
      <c r="I28" s="74">
        <f>PSK_AT_verzia_4_0!I28-PSK_AT_verzia_3_5!I28</f>
        <v>0</v>
      </c>
      <c r="J28" s="74">
        <f>PSK_AT_verzia_4_0!J28-PSK_AT_verzia_3_5!J28</f>
        <v>0</v>
      </c>
      <c r="K28" s="74">
        <f>PSK_AT_verzia_4_0!K28-PSK_AT_verzia_3_5!K28</f>
        <v>0</v>
      </c>
      <c r="L28" s="74">
        <f>PSK_AT_verzia_4_0!L28-PSK_AT_verzia_3_5!L28</f>
        <v>0</v>
      </c>
      <c r="M28" s="74">
        <f>PSK_AT_verzia_4_0!M28-PSK_AT_verzia_3_5!M28</f>
        <v>0</v>
      </c>
      <c r="N28" s="74">
        <f>PSK_AT_verzia_4_0!N28-PSK_AT_verzia_3_5!N28</f>
        <v>0</v>
      </c>
      <c r="O28" s="74">
        <f>PSK_AT_verzia_4_0!O28-PSK_AT_verzia_3_5!O28</f>
        <v>0</v>
      </c>
      <c r="P28" s="74">
        <f>PSK_AT_verzia_4_0!P28-PSK_AT_verzia_3_5!P28</f>
        <v>0</v>
      </c>
      <c r="Q28" s="74">
        <f>PSK_AT_verzia_4_0!Q28-PSK_AT_verzia_3_5!Q28</f>
        <v>0</v>
      </c>
    </row>
    <row r="29" spans="1:17" ht="28" customHeight="1" x14ac:dyDescent="0.35">
      <c r="A29" s="214" t="s">
        <v>43</v>
      </c>
      <c r="B29" s="215" t="s">
        <v>44</v>
      </c>
      <c r="C29" s="57">
        <f>PSK_AT_verzia_4_0!C29-PSK_AT_verzia_3_5!C29</f>
        <v>0</v>
      </c>
      <c r="D29" s="57">
        <f>PSK_AT_verzia_4_0!D29-PSK_AT_verzia_3_5!D29</f>
        <v>0</v>
      </c>
      <c r="E29" s="57">
        <f>PSK_AT_verzia_4_0!E29-PSK_AT_verzia_3_5!E29</f>
        <v>0</v>
      </c>
      <c r="F29" s="59" t="s">
        <v>45</v>
      </c>
      <c r="G29" s="58">
        <f>PSK_AT_verzia_4_0!G29-PSK_AT_verzia_3_5!G29</f>
        <v>-141750000</v>
      </c>
      <c r="H29" s="58">
        <f>PSK_AT_verzia_4_0!H29-PSK_AT_verzia_3_5!H29</f>
        <v>-129650000</v>
      </c>
      <c r="I29" s="58">
        <f>PSK_AT_verzia_4_0!I29-PSK_AT_verzia_3_5!I29</f>
        <v>-12100000</v>
      </c>
      <c r="J29" s="58">
        <f>PSK_AT_verzia_4_0!J29-PSK_AT_verzia_3_5!J29</f>
        <v>-141750000</v>
      </c>
      <c r="K29" s="58">
        <f>PSK_AT_verzia_4_0!K29-PSK_AT_verzia_3_5!K29</f>
        <v>-129650000</v>
      </c>
      <c r="L29" s="58">
        <f>PSK_AT_verzia_4_0!L29-PSK_AT_verzia_3_5!L29</f>
        <v>-12100000</v>
      </c>
      <c r="M29" s="58">
        <f>PSK_AT_verzia_4_0!M29-PSK_AT_verzia_3_5!M29</f>
        <v>0</v>
      </c>
      <c r="N29" s="58">
        <f>PSK_AT_verzia_4_0!N29-PSK_AT_verzia_3_5!N29</f>
        <v>0</v>
      </c>
      <c r="O29" s="58">
        <f>PSK_AT_verzia_4_0!O29-PSK_AT_verzia_3_5!O29</f>
        <v>0</v>
      </c>
      <c r="P29" s="58">
        <f>PSK_AT_verzia_4_0!P29-PSK_AT_verzia_3_5!P29</f>
        <v>0</v>
      </c>
      <c r="Q29" s="58">
        <f>PSK_AT_verzia_4_0!Q29-PSK_AT_verzia_3_5!Q29</f>
        <v>0</v>
      </c>
    </row>
    <row r="30" spans="1:17" ht="28" customHeight="1" x14ac:dyDescent="0.35">
      <c r="A30" s="214"/>
      <c r="B30" s="215"/>
      <c r="C30" s="60">
        <f>PSK_AT_verzia_4_0!C30-PSK_AT_verzia_3_5!C30</f>
        <v>0</v>
      </c>
      <c r="D30" s="60">
        <f>PSK_AT_verzia_4_0!D30-PSK_AT_verzia_3_5!D30</f>
        <v>0</v>
      </c>
      <c r="E30" s="60">
        <f>PSK_AT_verzia_4_0!E30-PSK_AT_verzia_3_5!E30</f>
        <v>0</v>
      </c>
      <c r="F30" s="61" t="s">
        <v>34</v>
      </c>
      <c r="G30" s="60">
        <f>PSK_AT_verzia_4_0!G30-PSK_AT_verzia_3_5!G30</f>
        <v>-141750000</v>
      </c>
      <c r="H30" s="60">
        <f>PSK_AT_verzia_4_0!H30-PSK_AT_verzia_3_5!H30</f>
        <v>-129650000</v>
      </c>
      <c r="I30" s="60">
        <f>PSK_AT_verzia_4_0!I30-PSK_AT_verzia_3_5!I30</f>
        <v>-12100000</v>
      </c>
      <c r="J30" s="60">
        <f>PSK_AT_verzia_4_0!J30-PSK_AT_verzia_3_5!J30</f>
        <v>-141750000</v>
      </c>
      <c r="K30" s="60">
        <f>PSK_AT_verzia_4_0!K30-PSK_AT_verzia_3_5!K30</f>
        <v>-129650000</v>
      </c>
      <c r="L30" s="60">
        <f>PSK_AT_verzia_4_0!L30-PSK_AT_verzia_3_5!L30</f>
        <v>-12100000</v>
      </c>
      <c r="M30" s="60">
        <f>PSK_AT_verzia_4_0!M30-PSK_AT_verzia_3_5!M30</f>
        <v>0</v>
      </c>
      <c r="N30" s="60">
        <f>PSK_AT_verzia_4_0!N30-PSK_AT_verzia_3_5!N30</f>
        <v>0</v>
      </c>
      <c r="O30" s="60">
        <f>PSK_AT_verzia_4_0!O30-PSK_AT_verzia_3_5!O30</f>
        <v>0</v>
      </c>
      <c r="P30" s="60">
        <f>PSK_AT_verzia_4_0!P30-PSK_AT_verzia_3_5!P30</f>
        <v>0</v>
      </c>
      <c r="Q30" s="60">
        <f>PSK_AT_verzia_4_0!Q30-PSK_AT_verzia_3_5!Q30</f>
        <v>0</v>
      </c>
    </row>
    <row r="31" spans="1:17" ht="28" customHeight="1" x14ac:dyDescent="0.35">
      <c r="A31" s="214"/>
      <c r="B31" s="215"/>
      <c r="C31" s="200">
        <f>PSK_AT_verzia_4_0!C31-PSK_AT_verzia_3_5!C31</f>
        <v>0</v>
      </c>
      <c r="D31" s="200">
        <f>PSK_AT_verzia_4_0!D31-PSK_AT_verzia_3_5!D31</f>
        <v>0</v>
      </c>
      <c r="E31" s="200">
        <f>PSK_AT_verzia_4_0!E31-PSK_AT_verzia_3_5!E31</f>
        <v>0</v>
      </c>
      <c r="F31" s="66" t="s">
        <v>35</v>
      </c>
      <c r="G31" s="67">
        <f>PSK_AT_verzia_4_0!G31-PSK_AT_verzia_3_5!G31</f>
        <v>-141750000</v>
      </c>
      <c r="H31" s="67">
        <f>PSK_AT_verzia_4_0!H31-PSK_AT_verzia_3_5!H31</f>
        <v>-129650000</v>
      </c>
      <c r="I31" s="67">
        <f>PSK_AT_verzia_4_0!I31-PSK_AT_verzia_3_5!I31</f>
        <v>-12100000</v>
      </c>
      <c r="J31" s="67">
        <f>PSK_AT_verzia_4_0!J31-PSK_AT_verzia_3_5!J31</f>
        <v>-141750000</v>
      </c>
      <c r="K31" s="67">
        <f>PSK_AT_verzia_4_0!K31-PSK_AT_verzia_3_5!K31</f>
        <v>-129650000</v>
      </c>
      <c r="L31" s="67">
        <f>PSK_AT_verzia_4_0!L31-PSK_AT_verzia_3_5!L31</f>
        <v>-12100000</v>
      </c>
      <c r="M31" s="67">
        <f>PSK_AT_verzia_4_0!M31-PSK_AT_verzia_3_5!M31</f>
        <v>0</v>
      </c>
      <c r="N31" s="67">
        <f>PSK_AT_verzia_4_0!N31-PSK_AT_verzia_3_5!N31</f>
        <v>0</v>
      </c>
      <c r="O31" s="67">
        <f>PSK_AT_verzia_4_0!O31-PSK_AT_verzia_3_5!O31</f>
        <v>0</v>
      </c>
      <c r="P31" s="67">
        <f>PSK_AT_verzia_4_0!P31-PSK_AT_verzia_3_5!P31</f>
        <v>0</v>
      </c>
      <c r="Q31" s="67">
        <f>PSK_AT_verzia_4_0!Q31-PSK_AT_verzia_3_5!Q31</f>
        <v>0</v>
      </c>
    </row>
    <row r="32" spans="1:17" ht="28" customHeight="1" x14ac:dyDescent="0.35">
      <c r="A32" s="214"/>
      <c r="B32" s="215"/>
      <c r="C32" s="60">
        <f>PSK_AT_verzia_4_0!C32-PSK_AT_verzia_3_5!C32</f>
        <v>0</v>
      </c>
      <c r="D32" s="60">
        <f>PSK_AT_verzia_4_0!D32-PSK_AT_verzia_3_5!D32</f>
        <v>0</v>
      </c>
      <c r="E32" s="60">
        <f>PSK_AT_verzia_4_0!E32-PSK_AT_verzia_3_5!E32</f>
        <v>0</v>
      </c>
      <c r="F32" s="61" t="s">
        <v>40</v>
      </c>
      <c r="G32" s="60">
        <f>PSK_AT_verzia_4_0!G32-PSK_AT_verzia_3_5!G32</f>
        <v>0</v>
      </c>
      <c r="H32" s="60">
        <f>PSK_AT_verzia_4_0!H32-PSK_AT_verzia_3_5!H32</f>
        <v>0</v>
      </c>
      <c r="I32" s="60">
        <f>PSK_AT_verzia_4_0!I32-PSK_AT_verzia_3_5!I32</f>
        <v>0</v>
      </c>
      <c r="J32" s="60">
        <f>PSK_AT_verzia_4_0!J32-PSK_AT_verzia_3_5!J32</f>
        <v>0</v>
      </c>
      <c r="K32" s="60">
        <f>PSK_AT_verzia_4_0!K32-PSK_AT_verzia_3_5!K32</f>
        <v>0</v>
      </c>
      <c r="L32" s="60">
        <f>PSK_AT_verzia_4_0!L32-PSK_AT_verzia_3_5!L32</f>
        <v>0</v>
      </c>
      <c r="M32" s="60">
        <f>PSK_AT_verzia_4_0!M32-PSK_AT_verzia_3_5!M32</f>
        <v>0</v>
      </c>
      <c r="N32" s="60">
        <f>PSK_AT_verzia_4_0!N32-PSK_AT_verzia_3_5!N32</f>
        <v>0</v>
      </c>
      <c r="O32" s="60">
        <f>PSK_AT_verzia_4_0!O32-PSK_AT_verzia_3_5!O32</f>
        <v>0</v>
      </c>
      <c r="P32" s="60">
        <f>PSK_AT_verzia_4_0!P32-PSK_AT_verzia_3_5!P32</f>
        <v>0</v>
      </c>
      <c r="Q32" s="60">
        <f>PSK_AT_verzia_4_0!Q32-PSK_AT_verzia_3_5!Q32</f>
        <v>0</v>
      </c>
    </row>
    <row r="33" spans="1:17" ht="28" customHeight="1" x14ac:dyDescent="0.35">
      <c r="A33" s="214"/>
      <c r="B33" s="215"/>
      <c r="C33" s="200">
        <f>PSK_AT_verzia_4_0!C33-PSK_AT_verzia_3_5!C33</f>
        <v>0</v>
      </c>
      <c r="D33" s="200">
        <f>PSK_AT_verzia_4_0!D33-PSK_AT_verzia_3_5!D33</f>
        <v>0</v>
      </c>
      <c r="E33" s="200">
        <f>PSK_AT_verzia_4_0!E33-PSK_AT_verzia_3_5!E33</f>
        <v>0</v>
      </c>
      <c r="F33" s="66" t="s">
        <v>41</v>
      </c>
      <c r="G33" s="67">
        <f>PSK_AT_verzia_4_0!G33-PSK_AT_verzia_3_5!G33</f>
        <v>0</v>
      </c>
      <c r="H33" s="67">
        <f>PSK_AT_verzia_4_0!H33-PSK_AT_verzia_3_5!H33</f>
        <v>0</v>
      </c>
      <c r="I33" s="67">
        <f>PSK_AT_verzia_4_0!I33-PSK_AT_verzia_3_5!I33</f>
        <v>0</v>
      </c>
      <c r="J33" s="67">
        <f>PSK_AT_verzia_4_0!J33-PSK_AT_verzia_3_5!J33</f>
        <v>0</v>
      </c>
      <c r="K33" s="67">
        <f>PSK_AT_verzia_4_0!K33-PSK_AT_verzia_3_5!K33</f>
        <v>0</v>
      </c>
      <c r="L33" s="67">
        <f>PSK_AT_verzia_4_0!L33-PSK_AT_verzia_3_5!L33</f>
        <v>0</v>
      </c>
      <c r="M33" s="67">
        <f>PSK_AT_verzia_4_0!M33-PSK_AT_verzia_3_5!M33</f>
        <v>0</v>
      </c>
      <c r="N33" s="67">
        <f>PSK_AT_verzia_4_0!N33-PSK_AT_verzia_3_5!N33</f>
        <v>0</v>
      </c>
      <c r="O33" s="67">
        <f>PSK_AT_verzia_4_0!O33-PSK_AT_verzia_3_5!O33</f>
        <v>0</v>
      </c>
      <c r="P33" s="67">
        <f>PSK_AT_verzia_4_0!P33-PSK_AT_verzia_3_5!P33</f>
        <v>0</v>
      </c>
      <c r="Q33" s="67">
        <f>PSK_AT_verzia_4_0!Q33-PSK_AT_verzia_3_5!Q33</f>
        <v>0</v>
      </c>
    </row>
    <row r="34" spans="1:17" ht="28" customHeight="1" x14ac:dyDescent="0.35">
      <c r="A34" s="214" t="s">
        <v>46</v>
      </c>
      <c r="B34" s="215" t="s">
        <v>47</v>
      </c>
      <c r="C34" s="57">
        <f>PSK_AT_verzia_4_0!C34-PSK_AT_verzia_3_5!C34</f>
        <v>0</v>
      </c>
      <c r="D34" s="57">
        <f>PSK_AT_verzia_4_0!D34-PSK_AT_verzia_3_5!D34</f>
        <v>0</v>
      </c>
      <c r="E34" s="57">
        <f>PSK_AT_verzia_4_0!E34-PSK_AT_verzia_3_5!E34</f>
        <v>0</v>
      </c>
      <c r="F34" s="59" t="s">
        <v>48</v>
      </c>
      <c r="G34" s="58">
        <f>PSK_AT_verzia_4_0!G34-PSK_AT_verzia_3_5!G34</f>
        <v>-26914298</v>
      </c>
      <c r="H34" s="58">
        <f>PSK_AT_verzia_4_0!H34-PSK_AT_verzia_3_5!H34</f>
        <v>-36810805</v>
      </c>
      <c r="I34" s="58">
        <f>PSK_AT_verzia_4_0!I34-PSK_AT_verzia_3_5!I34</f>
        <v>9896507</v>
      </c>
      <c r="J34" s="58">
        <f>PSK_AT_verzia_4_0!J34-PSK_AT_verzia_3_5!J34</f>
        <v>-26914298</v>
      </c>
      <c r="K34" s="58">
        <f>PSK_AT_verzia_4_0!K34-PSK_AT_verzia_3_5!K34</f>
        <v>-36810805</v>
      </c>
      <c r="L34" s="58">
        <f>PSK_AT_verzia_4_0!L34-PSK_AT_verzia_3_5!L34</f>
        <v>9896507</v>
      </c>
      <c r="M34" s="58">
        <f>PSK_AT_verzia_4_0!M34-PSK_AT_verzia_3_5!M34</f>
        <v>0</v>
      </c>
      <c r="N34" s="58">
        <f>PSK_AT_verzia_4_0!N34-PSK_AT_verzia_3_5!N34</f>
        <v>0</v>
      </c>
      <c r="O34" s="58">
        <f>PSK_AT_verzia_4_0!O34-PSK_AT_verzia_3_5!O34</f>
        <v>0</v>
      </c>
      <c r="P34" s="58">
        <f>PSK_AT_verzia_4_0!P34-PSK_AT_verzia_3_5!P34</f>
        <v>0</v>
      </c>
      <c r="Q34" s="58">
        <f>PSK_AT_verzia_4_0!Q34-PSK_AT_verzia_3_5!Q34</f>
        <v>0</v>
      </c>
    </row>
    <row r="35" spans="1:17" s="62" customFormat="1" ht="28" customHeight="1" x14ac:dyDescent="0.35">
      <c r="A35" s="214"/>
      <c r="B35" s="215"/>
      <c r="C35" s="60">
        <f>PSK_AT_verzia_4_0!C35-PSK_AT_verzia_3_5!C35</f>
        <v>0</v>
      </c>
      <c r="D35" s="60">
        <f>PSK_AT_verzia_4_0!D35-PSK_AT_verzia_3_5!D35</f>
        <v>0</v>
      </c>
      <c r="E35" s="60">
        <f>PSK_AT_verzia_4_0!E35-PSK_AT_verzia_3_5!E35</f>
        <v>0</v>
      </c>
      <c r="F35" s="61" t="s">
        <v>34</v>
      </c>
      <c r="G35" s="60">
        <f>PSK_AT_verzia_4_0!G35-PSK_AT_verzia_3_5!G35</f>
        <v>-19593417</v>
      </c>
      <c r="H35" s="60">
        <f>PSK_AT_verzia_4_0!H35-PSK_AT_verzia_3_5!H35</f>
        <v>-29489924</v>
      </c>
      <c r="I35" s="60">
        <f>PSK_AT_verzia_4_0!I35-PSK_AT_verzia_3_5!I35</f>
        <v>9896507</v>
      </c>
      <c r="J35" s="60">
        <f>PSK_AT_verzia_4_0!J35-PSK_AT_verzia_3_5!J35</f>
        <v>-19593417</v>
      </c>
      <c r="K35" s="60">
        <f>PSK_AT_verzia_4_0!K35-PSK_AT_verzia_3_5!K35</f>
        <v>-29489924</v>
      </c>
      <c r="L35" s="60">
        <f>PSK_AT_verzia_4_0!L35-PSK_AT_verzia_3_5!L35</f>
        <v>9896507</v>
      </c>
      <c r="M35" s="60">
        <f>PSK_AT_verzia_4_0!M35-PSK_AT_verzia_3_5!M35</f>
        <v>0</v>
      </c>
      <c r="N35" s="60">
        <f>PSK_AT_verzia_4_0!N35-PSK_AT_verzia_3_5!N35</f>
        <v>0</v>
      </c>
      <c r="O35" s="60">
        <f>PSK_AT_verzia_4_0!O35-PSK_AT_verzia_3_5!O35</f>
        <v>0</v>
      </c>
      <c r="P35" s="60">
        <f>PSK_AT_verzia_4_0!P35-PSK_AT_verzia_3_5!P35</f>
        <v>0</v>
      </c>
      <c r="Q35" s="60">
        <f>PSK_AT_verzia_4_0!Q35-PSK_AT_verzia_3_5!Q35</f>
        <v>0</v>
      </c>
    </row>
    <row r="36" spans="1:17" s="62" customFormat="1" ht="28" customHeight="1" x14ac:dyDescent="0.35">
      <c r="A36" s="214"/>
      <c r="B36" s="215"/>
      <c r="C36" s="200">
        <f>PSK_AT_verzia_4_0!C36-PSK_AT_verzia_3_5!C36</f>
        <v>0</v>
      </c>
      <c r="D36" s="200">
        <f>PSK_AT_verzia_4_0!D36-PSK_AT_verzia_3_5!D36</f>
        <v>0</v>
      </c>
      <c r="E36" s="200">
        <f>PSK_AT_verzia_4_0!E36-PSK_AT_verzia_3_5!E36</f>
        <v>0</v>
      </c>
      <c r="F36" s="66" t="s">
        <v>35</v>
      </c>
      <c r="G36" s="67">
        <f>PSK_AT_verzia_4_0!G36-PSK_AT_verzia_3_5!G36</f>
        <v>-19593417</v>
      </c>
      <c r="H36" s="67">
        <f>PSK_AT_verzia_4_0!H36-PSK_AT_verzia_3_5!H36</f>
        <v>-29489924</v>
      </c>
      <c r="I36" s="67">
        <f>PSK_AT_verzia_4_0!I36-PSK_AT_verzia_3_5!I36</f>
        <v>9896507</v>
      </c>
      <c r="J36" s="67">
        <f>PSK_AT_verzia_4_0!J36-PSK_AT_verzia_3_5!J36</f>
        <v>-19593417</v>
      </c>
      <c r="K36" s="67">
        <f>PSK_AT_verzia_4_0!K36-PSK_AT_verzia_3_5!K36</f>
        <v>-29489924</v>
      </c>
      <c r="L36" s="67">
        <f>PSK_AT_verzia_4_0!L36-PSK_AT_verzia_3_5!L36</f>
        <v>9896507</v>
      </c>
      <c r="M36" s="67">
        <f>PSK_AT_verzia_4_0!M36-PSK_AT_verzia_3_5!M36</f>
        <v>0</v>
      </c>
      <c r="N36" s="67">
        <f>PSK_AT_verzia_4_0!N36-PSK_AT_verzia_3_5!N36</f>
        <v>0</v>
      </c>
      <c r="O36" s="67">
        <f>PSK_AT_verzia_4_0!O36-PSK_AT_verzia_3_5!O36</f>
        <v>0</v>
      </c>
      <c r="P36" s="67">
        <f>PSK_AT_verzia_4_0!P36-PSK_AT_verzia_3_5!P36</f>
        <v>0</v>
      </c>
      <c r="Q36" s="67">
        <f>PSK_AT_verzia_4_0!Q36-PSK_AT_verzia_3_5!Q36</f>
        <v>0</v>
      </c>
    </row>
    <row r="37" spans="1:17" s="62" customFormat="1" ht="28" customHeight="1" x14ac:dyDescent="0.35">
      <c r="A37" s="214"/>
      <c r="B37" s="215"/>
      <c r="C37" s="60">
        <f>PSK_AT_verzia_4_0!C37-PSK_AT_verzia_3_5!C37</f>
        <v>0</v>
      </c>
      <c r="D37" s="60">
        <f>PSK_AT_verzia_4_0!D37-PSK_AT_verzia_3_5!D37</f>
        <v>0</v>
      </c>
      <c r="E37" s="60">
        <f>PSK_AT_verzia_4_0!E37-PSK_AT_verzia_3_5!E37</f>
        <v>0</v>
      </c>
      <c r="F37" s="61" t="s">
        <v>40</v>
      </c>
      <c r="G37" s="60">
        <f>PSK_AT_verzia_4_0!G37-PSK_AT_verzia_3_5!G37</f>
        <v>-7320881</v>
      </c>
      <c r="H37" s="60">
        <f>PSK_AT_verzia_4_0!H37-PSK_AT_verzia_3_5!H37</f>
        <v>-7320881</v>
      </c>
      <c r="I37" s="60">
        <f>PSK_AT_verzia_4_0!I37-PSK_AT_verzia_3_5!I37</f>
        <v>0</v>
      </c>
      <c r="J37" s="60">
        <f>PSK_AT_verzia_4_0!J37-PSK_AT_verzia_3_5!J37</f>
        <v>-7320881</v>
      </c>
      <c r="K37" s="60">
        <f>PSK_AT_verzia_4_0!K37-PSK_AT_verzia_3_5!K37</f>
        <v>-7320881</v>
      </c>
      <c r="L37" s="60">
        <f>PSK_AT_verzia_4_0!L37-PSK_AT_verzia_3_5!L37</f>
        <v>0</v>
      </c>
      <c r="M37" s="60">
        <f>PSK_AT_verzia_4_0!M37-PSK_AT_verzia_3_5!M37</f>
        <v>0</v>
      </c>
      <c r="N37" s="60">
        <f>PSK_AT_verzia_4_0!N37-PSK_AT_verzia_3_5!N37</f>
        <v>0</v>
      </c>
      <c r="O37" s="60">
        <f>PSK_AT_verzia_4_0!O37-PSK_AT_verzia_3_5!O37</f>
        <v>0</v>
      </c>
      <c r="P37" s="60">
        <f>PSK_AT_verzia_4_0!P37-PSK_AT_verzia_3_5!P37</f>
        <v>0</v>
      </c>
      <c r="Q37" s="60">
        <f>PSK_AT_verzia_4_0!Q37-PSK_AT_verzia_3_5!Q37</f>
        <v>0</v>
      </c>
    </row>
    <row r="38" spans="1:17" s="62" customFormat="1" ht="28" customHeight="1" x14ac:dyDescent="0.35">
      <c r="A38" s="214"/>
      <c r="B38" s="215"/>
      <c r="C38" s="200">
        <f>PSK_AT_verzia_4_0!C38-PSK_AT_verzia_3_5!C38</f>
        <v>0</v>
      </c>
      <c r="D38" s="200">
        <f>PSK_AT_verzia_4_0!D38-PSK_AT_verzia_3_5!D38</f>
        <v>0</v>
      </c>
      <c r="E38" s="200">
        <f>PSK_AT_verzia_4_0!E38-PSK_AT_verzia_3_5!E38</f>
        <v>0</v>
      </c>
      <c r="F38" s="66" t="s">
        <v>41</v>
      </c>
      <c r="G38" s="67">
        <f>PSK_AT_verzia_4_0!G38-PSK_AT_verzia_3_5!G38</f>
        <v>-7320881</v>
      </c>
      <c r="H38" s="67">
        <f>PSK_AT_verzia_4_0!H38-PSK_AT_verzia_3_5!H38</f>
        <v>-7320881</v>
      </c>
      <c r="I38" s="67">
        <f>PSK_AT_verzia_4_0!I38-PSK_AT_verzia_3_5!I38</f>
        <v>0</v>
      </c>
      <c r="J38" s="67">
        <f>PSK_AT_verzia_4_0!J38-PSK_AT_verzia_3_5!J38</f>
        <v>-7320881</v>
      </c>
      <c r="K38" s="67">
        <f>PSK_AT_verzia_4_0!K38-PSK_AT_verzia_3_5!K38</f>
        <v>-7320881</v>
      </c>
      <c r="L38" s="67">
        <f>PSK_AT_verzia_4_0!L38-PSK_AT_verzia_3_5!L38</f>
        <v>0</v>
      </c>
      <c r="M38" s="67">
        <f>PSK_AT_verzia_4_0!M38-PSK_AT_verzia_3_5!M38</f>
        <v>0</v>
      </c>
      <c r="N38" s="67">
        <f>PSK_AT_verzia_4_0!N38-PSK_AT_verzia_3_5!N38</f>
        <v>0</v>
      </c>
      <c r="O38" s="67">
        <f>PSK_AT_verzia_4_0!O38-PSK_AT_verzia_3_5!O38</f>
        <v>0</v>
      </c>
      <c r="P38" s="67">
        <f>PSK_AT_verzia_4_0!P38-PSK_AT_verzia_3_5!P38</f>
        <v>0</v>
      </c>
      <c r="Q38" s="67">
        <f>PSK_AT_verzia_4_0!Q38-PSK_AT_verzia_3_5!Q38</f>
        <v>0</v>
      </c>
    </row>
    <row r="39" spans="1:17" s="62" customFormat="1" ht="28" customHeight="1" x14ac:dyDescent="0.35">
      <c r="A39" s="214"/>
      <c r="B39" s="215"/>
      <c r="C39" s="60">
        <f>PSK_AT_verzia_4_0!C39-PSK_AT_verzia_3_5!C39</f>
        <v>0</v>
      </c>
      <c r="D39" s="60">
        <f>PSK_AT_verzia_4_0!D39-PSK_AT_verzia_3_5!D39</f>
        <v>0</v>
      </c>
      <c r="E39" s="60">
        <f>PSK_AT_verzia_4_0!E39-PSK_AT_verzia_3_5!E39</f>
        <v>0</v>
      </c>
      <c r="F39" s="61" t="s">
        <v>49</v>
      </c>
      <c r="G39" s="60">
        <f>PSK_AT_verzia_4_0!G39-PSK_AT_verzia_3_5!G39</f>
        <v>0</v>
      </c>
      <c r="H39" s="60">
        <f>PSK_AT_verzia_4_0!H39-PSK_AT_verzia_3_5!H39</f>
        <v>0</v>
      </c>
      <c r="I39" s="60">
        <f>PSK_AT_verzia_4_0!I39-PSK_AT_verzia_3_5!I39</f>
        <v>0</v>
      </c>
      <c r="J39" s="60">
        <f>PSK_AT_verzia_4_0!J39-PSK_AT_verzia_3_5!J39</f>
        <v>0</v>
      </c>
      <c r="K39" s="60">
        <f>PSK_AT_verzia_4_0!K39-PSK_AT_verzia_3_5!K39</f>
        <v>0</v>
      </c>
      <c r="L39" s="60">
        <f>PSK_AT_verzia_4_0!L39-PSK_AT_verzia_3_5!L39</f>
        <v>0</v>
      </c>
      <c r="M39" s="60">
        <f>PSK_AT_verzia_4_0!M39-PSK_AT_verzia_3_5!M39</f>
        <v>0</v>
      </c>
      <c r="N39" s="60">
        <f>PSK_AT_verzia_4_0!N39-PSK_AT_verzia_3_5!N39</f>
        <v>0</v>
      </c>
      <c r="O39" s="60">
        <f>PSK_AT_verzia_4_0!O39-PSK_AT_verzia_3_5!O39</f>
        <v>0</v>
      </c>
      <c r="P39" s="60">
        <f>PSK_AT_verzia_4_0!P39-PSK_AT_verzia_3_5!P39</f>
        <v>0</v>
      </c>
      <c r="Q39" s="60">
        <f>PSK_AT_verzia_4_0!Q39-PSK_AT_verzia_3_5!Q39</f>
        <v>0</v>
      </c>
    </row>
    <row r="40" spans="1:17" s="62" customFormat="1" ht="28" customHeight="1" x14ac:dyDescent="0.35">
      <c r="A40" s="214"/>
      <c r="B40" s="215"/>
      <c r="C40" s="200">
        <f>PSK_AT_verzia_4_0!C40-PSK_AT_verzia_3_5!C40</f>
        <v>0</v>
      </c>
      <c r="D40" s="200">
        <f>PSK_AT_verzia_4_0!D40-PSK_AT_verzia_3_5!D40</f>
        <v>0</v>
      </c>
      <c r="E40" s="200">
        <f>PSK_AT_verzia_4_0!E40-PSK_AT_verzia_3_5!E40</f>
        <v>0</v>
      </c>
      <c r="F40" s="66" t="s">
        <v>50</v>
      </c>
      <c r="G40" s="67">
        <f>PSK_AT_verzia_4_0!G40-PSK_AT_verzia_3_5!G40</f>
        <v>0</v>
      </c>
      <c r="H40" s="67">
        <f>PSK_AT_verzia_4_0!H40-PSK_AT_verzia_3_5!H40</f>
        <v>0</v>
      </c>
      <c r="I40" s="67">
        <f>PSK_AT_verzia_4_0!I40-PSK_AT_verzia_3_5!I40</f>
        <v>0</v>
      </c>
      <c r="J40" s="67">
        <f>PSK_AT_verzia_4_0!J40-PSK_AT_verzia_3_5!J40</f>
        <v>0</v>
      </c>
      <c r="K40" s="67">
        <f>PSK_AT_verzia_4_0!K40-PSK_AT_verzia_3_5!K40</f>
        <v>0</v>
      </c>
      <c r="L40" s="67">
        <f>PSK_AT_verzia_4_0!L40-PSK_AT_verzia_3_5!L40</f>
        <v>0</v>
      </c>
      <c r="M40" s="67">
        <f>PSK_AT_verzia_4_0!M40-PSK_AT_verzia_3_5!M40</f>
        <v>0</v>
      </c>
      <c r="N40" s="67">
        <f>PSK_AT_verzia_4_0!N40-PSK_AT_verzia_3_5!N40</f>
        <v>0</v>
      </c>
      <c r="O40" s="67">
        <f>PSK_AT_verzia_4_0!O40-PSK_AT_verzia_3_5!O40</f>
        <v>0</v>
      </c>
      <c r="P40" s="67">
        <f>PSK_AT_verzia_4_0!P40-PSK_AT_verzia_3_5!P40</f>
        <v>0</v>
      </c>
      <c r="Q40" s="67">
        <f>PSK_AT_verzia_4_0!Q40-PSK_AT_verzia_3_5!Q40</f>
        <v>0</v>
      </c>
    </row>
    <row r="41" spans="1:17" ht="28" customHeight="1" x14ac:dyDescent="0.35">
      <c r="A41" s="214" t="s">
        <v>51</v>
      </c>
      <c r="B41" s="215" t="s">
        <v>52</v>
      </c>
      <c r="C41" s="57">
        <f>PSK_AT_verzia_4_0!C41-PSK_AT_verzia_3_5!C41</f>
        <v>0</v>
      </c>
      <c r="D41" s="57">
        <f>PSK_AT_verzia_4_0!D41-PSK_AT_verzia_3_5!D41</f>
        <v>0</v>
      </c>
      <c r="E41" s="57">
        <f>PSK_AT_verzia_4_0!E41-PSK_AT_verzia_3_5!E41</f>
        <v>0</v>
      </c>
      <c r="F41" s="59" t="s">
        <v>53</v>
      </c>
      <c r="G41" s="58">
        <f>PSK_AT_verzia_4_0!G41-PSK_AT_verzia_3_5!G41</f>
        <v>51956916</v>
      </c>
      <c r="H41" s="58">
        <f>PSK_AT_verzia_4_0!H41-PSK_AT_verzia_3_5!H41</f>
        <v>36541867</v>
      </c>
      <c r="I41" s="58">
        <f>PSK_AT_verzia_4_0!I41-PSK_AT_verzia_3_5!I41</f>
        <v>15415049</v>
      </c>
      <c r="J41" s="58">
        <f>PSK_AT_verzia_4_0!J41-PSK_AT_verzia_3_5!J41</f>
        <v>51956916</v>
      </c>
      <c r="K41" s="58">
        <f>PSK_AT_verzia_4_0!K41-PSK_AT_verzia_3_5!K41</f>
        <v>36541867</v>
      </c>
      <c r="L41" s="58">
        <f>PSK_AT_verzia_4_0!L41-PSK_AT_verzia_3_5!L41</f>
        <v>15415049</v>
      </c>
      <c r="M41" s="58">
        <f>PSK_AT_verzia_4_0!M41-PSK_AT_verzia_3_5!M41</f>
        <v>0</v>
      </c>
      <c r="N41" s="58">
        <f>PSK_AT_verzia_4_0!N41-PSK_AT_verzia_3_5!N41</f>
        <v>0</v>
      </c>
      <c r="O41" s="58">
        <f>PSK_AT_verzia_4_0!O41-PSK_AT_verzia_3_5!O41</f>
        <v>0</v>
      </c>
      <c r="P41" s="58">
        <f>PSK_AT_verzia_4_0!P41-PSK_AT_verzia_3_5!P41</f>
        <v>0</v>
      </c>
      <c r="Q41" s="58">
        <f>PSK_AT_verzia_4_0!Q41-PSK_AT_verzia_3_5!Q41</f>
        <v>0</v>
      </c>
    </row>
    <row r="42" spans="1:17" s="62" customFormat="1" ht="28" customHeight="1" x14ac:dyDescent="0.35">
      <c r="A42" s="214"/>
      <c r="B42" s="215"/>
      <c r="C42" s="60">
        <f>PSK_AT_verzia_4_0!C42-PSK_AT_verzia_3_5!C42</f>
        <v>0</v>
      </c>
      <c r="D42" s="60">
        <f>PSK_AT_verzia_4_0!D42-PSK_AT_verzia_3_5!D42</f>
        <v>0</v>
      </c>
      <c r="E42" s="60">
        <f>PSK_AT_verzia_4_0!E42-PSK_AT_verzia_3_5!E42</f>
        <v>0</v>
      </c>
      <c r="F42" s="61" t="s">
        <v>34</v>
      </c>
      <c r="G42" s="60">
        <f>PSK_AT_verzia_4_0!G42-PSK_AT_verzia_3_5!G42</f>
        <v>84529497</v>
      </c>
      <c r="H42" s="60">
        <f>PSK_AT_verzia_4_0!H42-PSK_AT_verzia_3_5!H42</f>
        <v>69114448</v>
      </c>
      <c r="I42" s="60">
        <f>PSK_AT_verzia_4_0!I42-PSK_AT_verzia_3_5!I42</f>
        <v>15415049</v>
      </c>
      <c r="J42" s="60">
        <f>PSK_AT_verzia_4_0!J42-PSK_AT_verzia_3_5!J42</f>
        <v>84529497</v>
      </c>
      <c r="K42" s="60">
        <f>PSK_AT_verzia_4_0!K42-PSK_AT_verzia_3_5!K42</f>
        <v>69114448</v>
      </c>
      <c r="L42" s="60">
        <f>PSK_AT_verzia_4_0!L42-PSK_AT_verzia_3_5!L42</f>
        <v>15415049</v>
      </c>
      <c r="M42" s="60">
        <f>PSK_AT_verzia_4_0!M42-PSK_AT_verzia_3_5!M42</f>
        <v>0</v>
      </c>
      <c r="N42" s="60">
        <f>PSK_AT_verzia_4_0!N42-PSK_AT_verzia_3_5!N42</f>
        <v>0</v>
      </c>
      <c r="O42" s="60">
        <f>PSK_AT_verzia_4_0!O42-PSK_AT_verzia_3_5!O42</f>
        <v>0</v>
      </c>
      <c r="P42" s="60">
        <f>PSK_AT_verzia_4_0!P42-PSK_AT_verzia_3_5!P42</f>
        <v>0</v>
      </c>
      <c r="Q42" s="60">
        <f>PSK_AT_verzia_4_0!Q42-PSK_AT_verzia_3_5!Q42</f>
        <v>0</v>
      </c>
    </row>
    <row r="43" spans="1:17" s="62" customFormat="1" ht="28" customHeight="1" x14ac:dyDescent="0.35">
      <c r="A43" s="214"/>
      <c r="B43" s="215"/>
      <c r="C43" s="200">
        <f>PSK_AT_verzia_4_0!C43-PSK_AT_verzia_3_5!C43</f>
        <v>0</v>
      </c>
      <c r="D43" s="200">
        <f>PSK_AT_verzia_4_0!D43-PSK_AT_verzia_3_5!D43</f>
        <v>0</v>
      </c>
      <c r="E43" s="200">
        <f>PSK_AT_verzia_4_0!E43-PSK_AT_verzia_3_5!E43</f>
        <v>0</v>
      </c>
      <c r="F43" s="66" t="s">
        <v>35</v>
      </c>
      <c r="G43" s="67">
        <f>PSK_AT_verzia_4_0!G43-PSK_AT_verzia_3_5!G43</f>
        <v>84529497</v>
      </c>
      <c r="H43" s="67">
        <f>PSK_AT_verzia_4_0!H43-PSK_AT_verzia_3_5!H43</f>
        <v>69114448</v>
      </c>
      <c r="I43" s="67">
        <f>PSK_AT_verzia_4_0!I43-PSK_AT_verzia_3_5!I43</f>
        <v>15415049</v>
      </c>
      <c r="J43" s="67">
        <f>PSK_AT_verzia_4_0!J43-PSK_AT_verzia_3_5!J43</f>
        <v>84529497</v>
      </c>
      <c r="K43" s="67">
        <f>PSK_AT_verzia_4_0!K43-PSK_AT_verzia_3_5!K43</f>
        <v>69114448</v>
      </c>
      <c r="L43" s="67">
        <f>PSK_AT_verzia_4_0!L43-PSK_AT_verzia_3_5!L43</f>
        <v>15415049</v>
      </c>
      <c r="M43" s="67">
        <f>PSK_AT_verzia_4_0!M43-PSK_AT_verzia_3_5!M43</f>
        <v>0</v>
      </c>
      <c r="N43" s="67">
        <f>PSK_AT_verzia_4_0!N43-PSK_AT_verzia_3_5!N43</f>
        <v>0</v>
      </c>
      <c r="O43" s="67">
        <f>PSK_AT_verzia_4_0!O43-PSK_AT_verzia_3_5!O43</f>
        <v>0</v>
      </c>
      <c r="P43" s="67">
        <f>PSK_AT_verzia_4_0!P43-PSK_AT_verzia_3_5!P43</f>
        <v>0</v>
      </c>
      <c r="Q43" s="67">
        <f>PSK_AT_verzia_4_0!Q43-PSK_AT_verzia_3_5!Q43</f>
        <v>0</v>
      </c>
    </row>
    <row r="44" spans="1:17" s="62" customFormat="1" ht="28" customHeight="1" x14ac:dyDescent="0.35">
      <c r="A44" s="214"/>
      <c r="B44" s="215"/>
      <c r="C44" s="60">
        <f>PSK_AT_verzia_4_0!C44-PSK_AT_verzia_3_5!C44</f>
        <v>0</v>
      </c>
      <c r="D44" s="60">
        <f>PSK_AT_verzia_4_0!D44-PSK_AT_verzia_3_5!D44</f>
        <v>0</v>
      </c>
      <c r="E44" s="60">
        <f>PSK_AT_verzia_4_0!E44-PSK_AT_verzia_3_5!E44</f>
        <v>0</v>
      </c>
      <c r="F44" s="61" t="s">
        <v>49</v>
      </c>
      <c r="G44" s="60">
        <f>PSK_AT_verzia_4_0!G44-PSK_AT_verzia_3_5!G44</f>
        <v>-32572581</v>
      </c>
      <c r="H44" s="60">
        <f>PSK_AT_verzia_4_0!H44-PSK_AT_verzia_3_5!H44</f>
        <v>-32572581</v>
      </c>
      <c r="I44" s="60">
        <f>PSK_AT_verzia_4_0!I44-PSK_AT_verzia_3_5!I44</f>
        <v>0</v>
      </c>
      <c r="J44" s="60">
        <f>PSK_AT_verzia_4_0!J44-PSK_AT_verzia_3_5!J44</f>
        <v>-32572581</v>
      </c>
      <c r="K44" s="60">
        <f>PSK_AT_verzia_4_0!K44-PSK_AT_verzia_3_5!K44</f>
        <v>-32572581</v>
      </c>
      <c r="L44" s="60">
        <f>PSK_AT_verzia_4_0!L44-PSK_AT_verzia_3_5!L44</f>
        <v>0</v>
      </c>
      <c r="M44" s="60">
        <f>PSK_AT_verzia_4_0!M44-PSK_AT_verzia_3_5!M44</f>
        <v>0</v>
      </c>
      <c r="N44" s="60">
        <f>PSK_AT_verzia_4_0!N44-PSK_AT_verzia_3_5!N44</f>
        <v>0</v>
      </c>
      <c r="O44" s="60">
        <f>PSK_AT_verzia_4_0!O44-PSK_AT_verzia_3_5!O44</f>
        <v>0</v>
      </c>
      <c r="P44" s="60">
        <f>PSK_AT_verzia_4_0!P44-PSK_AT_verzia_3_5!P44</f>
        <v>0</v>
      </c>
      <c r="Q44" s="60">
        <f>PSK_AT_verzia_4_0!Q44-PSK_AT_verzia_3_5!Q44</f>
        <v>0</v>
      </c>
    </row>
    <row r="45" spans="1:17" s="62" customFormat="1" ht="28" customHeight="1" x14ac:dyDescent="0.35">
      <c r="A45" s="214"/>
      <c r="B45" s="215"/>
      <c r="C45" s="200">
        <f>PSK_AT_verzia_4_0!C45-PSK_AT_verzia_3_5!C45</f>
        <v>0</v>
      </c>
      <c r="D45" s="200">
        <f>PSK_AT_verzia_4_0!D45-PSK_AT_verzia_3_5!D45</f>
        <v>0</v>
      </c>
      <c r="E45" s="200">
        <f>PSK_AT_verzia_4_0!E45-PSK_AT_verzia_3_5!E45</f>
        <v>0</v>
      </c>
      <c r="F45" s="66" t="s">
        <v>50</v>
      </c>
      <c r="G45" s="67">
        <f>PSK_AT_verzia_4_0!G45-PSK_AT_verzia_3_5!G45</f>
        <v>-32572581</v>
      </c>
      <c r="H45" s="67">
        <f>PSK_AT_verzia_4_0!H45-PSK_AT_verzia_3_5!H45</f>
        <v>-32572581</v>
      </c>
      <c r="I45" s="67">
        <f>PSK_AT_verzia_4_0!I45-PSK_AT_verzia_3_5!I45</f>
        <v>0</v>
      </c>
      <c r="J45" s="67">
        <f>PSK_AT_verzia_4_0!J45-PSK_AT_verzia_3_5!J45</f>
        <v>-32572581</v>
      </c>
      <c r="K45" s="67">
        <f>PSK_AT_verzia_4_0!K45-PSK_AT_verzia_3_5!K45</f>
        <v>-32572581</v>
      </c>
      <c r="L45" s="67">
        <f>PSK_AT_verzia_4_0!L45-PSK_AT_verzia_3_5!L45</f>
        <v>0</v>
      </c>
      <c r="M45" s="67">
        <f>PSK_AT_verzia_4_0!M45-PSK_AT_verzia_3_5!M45</f>
        <v>0</v>
      </c>
      <c r="N45" s="67">
        <f>PSK_AT_verzia_4_0!N45-PSK_AT_verzia_3_5!N45</f>
        <v>0</v>
      </c>
      <c r="O45" s="67">
        <f>PSK_AT_verzia_4_0!O45-PSK_AT_verzia_3_5!O45</f>
        <v>0</v>
      </c>
      <c r="P45" s="67">
        <f>PSK_AT_verzia_4_0!P45-PSK_AT_verzia_3_5!P45</f>
        <v>0</v>
      </c>
      <c r="Q45" s="67">
        <f>PSK_AT_verzia_4_0!Q45-PSK_AT_verzia_3_5!Q45</f>
        <v>0</v>
      </c>
    </row>
    <row r="46" spans="1:17" s="75" customFormat="1" ht="79" customHeight="1" x14ac:dyDescent="0.35">
      <c r="A46" s="50" t="s">
        <v>54</v>
      </c>
      <c r="B46" s="51" t="s">
        <v>55</v>
      </c>
      <c r="C46" s="52">
        <f>PSK_AT_verzia_4_0!C46-PSK_AT_verzia_3_5!C46</f>
        <v>-5524304</v>
      </c>
      <c r="D46" s="52">
        <f>PSK_AT_verzia_4_0!D46-PSK_AT_verzia_3_5!D46</f>
        <v>0</v>
      </c>
      <c r="E46" s="52">
        <f>PSK_AT_verzia_4_0!E46-PSK_AT_verzia_3_5!E46</f>
        <v>0</v>
      </c>
      <c r="F46" s="54" t="s">
        <v>56</v>
      </c>
      <c r="G46" s="52">
        <f>PSK_AT_verzia_4_0!G46-PSK_AT_verzia_3_5!G46</f>
        <v>-87074087</v>
      </c>
      <c r="H46" s="52">
        <f>PSK_AT_verzia_4_0!H46-PSK_AT_verzia_3_5!H46</f>
        <v>-83297760</v>
      </c>
      <c r="I46" s="52">
        <f>PSK_AT_verzia_4_0!I46-PSK_AT_verzia_3_5!I46</f>
        <v>-3776327</v>
      </c>
      <c r="J46" s="52">
        <f>PSK_AT_verzia_4_0!J46-PSK_AT_verzia_3_5!J46</f>
        <v>-87074087</v>
      </c>
      <c r="K46" s="52">
        <f>PSK_AT_verzia_4_0!K46-PSK_AT_verzia_3_5!K46</f>
        <v>-83297760</v>
      </c>
      <c r="L46" s="52">
        <f>PSK_AT_verzia_4_0!L46-PSK_AT_verzia_3_5!L46</f>
        <v>-3776327</v>
      </c>
      <c r="M46" s="52">
        <f>PSK_AT_verzia_4_0!M46-PSK_AT_verzia_3_5!M46</f>
        <v>0</v>
      </c>
      <c r="N46" s="52">
        <f>PSK_AT_verzia_4_0!N46-PSK_AT_verzia_3_5!N46</f>
        <v>0</v>
      </c>
      <c r="O46" s="52">
        <f>PSK_AT_verzia_4_0!O46-PSK_AT_verzia_3_5!O46</f>
        <v>0</v>
      </c>
      <c r="P46" s="52">
        <f>PSK_AT_verzia_4_0!P46-PSK_AT_verzia_3_5!P46</f>
        <v>0</v>
      </c>
      <c r="Q46" s="52">
        <f>PSK_AT_verzia_4_0!Q46-PSK_AT_verzia_3_5!Q46</f>
        <v>0</v>
      </c>
    </row>
    <row r="47" spans="1:17" s="76" customFormat="1" ht="28.5" customHeight="1" x14ac:dyDescent="0.35">
      <c r="A47" s="214" t="s">
        <v>57</v>
      </c>
      <c r="B47" s="215" t="s">
        <v>58</v>
      </c>
      <c r="C47" s="57">
        <f>PSK_AT_verzia_4_0!C47-PSK_AT_verzia_3_5!C47</f>
        <v>0</v>
      </c>
      <c r="D47" s="57">
        <f>PSK_AT_verzia_4_0!D47-PSK_AT_verzia_3_5!D47</f>
        <v>0</v>
      </c>
      <c r="E47" s="57">
        <f>PSK_AT_verzia_4_0!E47-PSK_AT_verzia_3_5!E47</f>
        <v>0</v>
      </c>
      <c r="F47" s="59" t="s">
        <v>59</v>
      </c>
      <c r="G47" s="58">
        <f>PSK_AT_verzia_4_0!G47-PSK_AT_verzia_3_5!G47</f>
        <v>-60340822</v>
      </c>
      <c r="H47" s="58">
        <f>PSK_AT_verzia_4_0!H47-PSK_AT_verzia_3_5!H47</f>
        <v>-57353990</v>
      </c>
      <c r="I47" s="58">
        <f>PSK_AT_verzia_4_0!I47-PSK_AT_verzia_3_5!I47</f>
        <v>-2986832</v>
      </c>
      <c r="J47" s="58">
        <f>PSK_AT_verzia_4_0!J47-PSK_AT_verzia_3_5!J47</f>
        <v>-60340822</v>
      </c>
      <c r="K47" s="58">
        <f>PSK_AT_verzia_4_0!K47-PSK_AT_verzia_3_5!K47</f>
        <v>-57353990</v>
      </c>
      <c r="L47" s="58">
        <f>PSK_AT_verzia_4_0!L47-PSK_AT_verzia_3_5!L47</f>
        <v>-2986832</v>
      </c>
      <c r="M47" s="58">
        <f>PSK_AT_verzia_4_0!M47-PSK_AT_verzia_3_5!M47</f>
        <v>0</v>
      </c>
      <c r="N47" s="58">
        <f>PSK_AT_verzia_4_0!N47-PSK_AT_verzia_3_5!N47</f>
        <v>0</v>
      </c>
      <c r="O47" s="58">
        <f>PSK_AT_verzia_4_0!O47-PSK_AT_verzia_3_5!O47</f>
        <v>0</v>
      </c>
      <c r="P47" s="58">
        <f>PSK_AT_verzia_4_0!P47-PSK_AT_verzia_3_5!P47</f>
        <v>0</v>
      </c>
      <c r="Q47" s="58">
        <f>PSK_AT_verzia_4_0!Q47-PSK_AT_verzia_3_5!Q47</f>
        <v>0</v>
      </c>
    </row>
    <row r="48" spans="1:17" s="76" customFormat="1" ht="28.5" customHeight="1" x14ac:dyDescent="0.35">
      <c r="A48" s="214"/>
      <c r="B48" s="215"/>
      <c r="C48" s="60">
        <f>PSK_AT_verzia_4_0!C48-PSK_AT_verzia_3_5!C48</f>
        <v>0</v>
      </c>
      <c r="D48" s="60">
        <f>PSK_AT_verzia_4_0!D48-PSK_AT_verzia_3_5!D48</f>
        <v>0</v>
      </c>
      <c r="E48" s="60">
        <f>PSK_AT_verzia_4_0!E48-PSK_AT_verzia_3_5!E48</f>
        <v>0</v>
      </c>
      <c r="F48" s="61" t="s">
        <v>36</v>
      </c>
      <c r="G48" s="60">
        <f>PSK_AT_verzia_4_0!G48-PSK_AT_verzia_3_5!G48</f>
        <v>-60340822</v>
      </c>
      <c r="H48" s="60">
        <f>PSK_AT_verzia_4_0!H48-PSK_AT_verzia_3_5!H48</f>
        <v>-57353990</v>
      </c>
      <c r="I48" s="60">
        <f>PSK_AT_verzia_4_0!I48-PSK_AT_verzia_3_5!I48</f>
        <v>-2986832</v>
      </c>
      <c r="J48" s="60">
        <f>PSK_AT_verzia_4_0!J48-PSK_AT_verzia_3_5!J48</f>
        <v>-60340822</v>
      </c>
      <c r="K48" s="60">
        <f>PSK_AT_verzia_4_0!K48-PSK_AT_verzia_3_5!K48</f>
        <v>-57353990</v>
      </c>
      <c r="L48" s="60">
        <f>PSK_AT_verzia_4_0!L48-PSK_AT_verzia_3_5!L48</f>
        <v>-2986832</v>
      </c>
      <c r="M48" s="60">
        <f>PSK_AT_verzia_4_0!M48-PSK_AT_verzia_3_5!M48</f>
        <v>0</v>
      </c>
      <c r="N48" s="60">
        <f>PSK_AT_verzia_4_0!N48-PSK_AT_verzia_3_5!N48</f>
        <v>0</v>
      </c>
      <c r="O48" s="60">
        <f>PSK_AT_verzia_4_0!O48-PSK_AT_verzia_3_5!O48</f>
        <v>0</v>
      </c>
      <c r="P48" s="60">
        <f>PSK_AT_verzia_4_0!P48-PSK_AT_verzia_3_5!P48</f>
        <v>0</v>
      </c>
      <c r="Q48" s="60">
        <f>PSK_AT_verzia_4_0!Q48-PSK_AT_verzia_3_5!Q48</f>
        <v>0</v>
      </c>
    </row>
    <row r="49" spans="1:17" s="76" customFormat="1" ht="28.5" x14ac:dyDescent="0.35">
      <c r="A49" s="214"/>
      <c r="B49" s="215"/>
      <c r="C49" s="200">
        <f>PSK_AT_verzia_4_0!C49-PSK_AT_verzia_3_5!C49</f>
        <v>0</v>
      </c>
      <c r="D49" s="200">
        <f>PSK_AT_verzia_4_0!D49-PSK_AT_verzia_3_5!D49</f>
        <v>0</v>
      </c>
      <c r="E49" s="200">
        <f>PSK_AT_verzia_4_0!E49-PSK_AT_verzia_3_5!E49</f>
        <v>0</v>
      </c>
      <c r="F49" s="66" t="s">
        <v>37</v>
      </c>
      <c r="G49" s="67">
        <f>PSK_AT_verzia_4_0!G49-PSK_AT_verzia_3_5!G49</f>
        <v>-60340822</v>
      </c>
      <c r="H49" s="67">
        <f>PSK_AT_verzia_4_0!H49-PSK_AT_verzia_3_5!H49</f>
        <v>-57353990</v>
      </c>
      <c r="I49" s="67">
        <f>PSK_AT_verzia_4_0!I49-PSK_AT_verzia_3_5!I49</f>
        <v>-2986832</v>
      </c>
      <c r="J49" s="67">
        <f>PSK_AT_verzia_4_0!J49-PSK_AT_verzia_3_5!J49</f>
        <v>-60340822</v>
      </c>
      <c r="K49" s="67">
        <f>PSK_AT_verzia_4_0!K49-PSK_AT_verzia_3_5!K49</f>
        <v>-57353990</v>
      </c>
      <c r="L49" s="67">
        <f>PSK_AT_verzia_4_0!L49-PSK_AT_verzia_3_5!L49</f>
        <v>-2986832</v>
      </c>
      <c r="M49" s="67">
        <f>PSK_AT_verzia_4_0!M49-PSK_AT_verzia_3_5!M49</f>
        <v>0</v>
      </c>
      <c r="N49" s="67">
        <f>PSK_AT_verzia_4_0!N49-PSK_AT_verzia_3_5!N49</f>
        <v>0</v>
      </c>
      <c r="O49" s="67">
        <f>PSK_AT_verzia_4_0!O49-PSK_AT_verzia_3_5!O49</f>
        <v>0</v>
      </c>
      <c r="P49" s="67">
        <f>PSK_AT_verzia_4_0!P49-PSK_AT_verzia_3_5!P49</f>
        <v>0</v>
      </c>
      <c r="Q49" s="67">
        <f>PSK_AT_verzia_4_0!Q49-PSK_AT_verzia_3_5!Q49</f>
        <v>0</v>
      </c>
    </row>
    <row r="50" spans="1:17" ht="28.5" x14ac:dyDescent="0.35">
      <c r="A50" s="214" t="s">
        <v>60</v>
      </c>
      <c r="B50" s="215" t="s">
        <v>61</v>
      </c>
      <c r="C50" s="57">
        <f>PSK_AT_verzia_4_0!C50-PSK_AT_verzia_3_5!C50</f>
        <v>-5524304</v>
      </c>
      <c r="D50" s="57">
        <f>PSK_AT_verzia_4_0!D50-PSK_AT_verzia_3_5!D50</f>
        <v>0</v>
      </c>
      <c r="E50" s="57">
        <f>PSK_AT_verzia_4_0!E50-PSK_AT_verzia_3_5!E50</f>
        <v>0</v>
      </c>
      <c r="F50" s="59" t="s">
        <v>62</v>
      </c>
      <c r="G50" s="58">
        <f>PSK_AT_verzia_4_0!G50-PSK_AT_verzia_3_5!G50</f>
        <v>-26733265</v>
      </c>
      <c r="H50" s="58">
        <f>PSK_AT_verzia_4_0!H50-PSK_AT_verzia_3_5!H50</f>
        <v>-25943770</v>
      </c>
      <c r="I50" s="58">
        <f>PSK_AT_verzia_4_0!I50-PSK_AT_verzia_3_5!I50</f>
        <v>-789495</v>
      </c>
      <c r="J50" s="58">
        <f>PSK_AT_verzia_4_0!J50-PSK_AT_verzia_3_5!J50</f>
        <v>-26733265</v>
      </c>
      <c r="K50" s="58">
        <f>PSK_AT_verzia_4_0!K50-PSK_AT_verzia_3_5!K50</f>
        <v>-25943770</v>
      </c>
      <c r="L50" s="58">
        <f>PSK_AT_verzia_4_0!L50-PSK_AT_verzia_3_5!L50</f>
        <v>-789495</v>
      </c>
      <c r="M50" s="58">
        <f>PSK_AT_verzia_4_0!M50-PSK_AT_verzia_3_5!M50</f>
        <v>0</v>
      </c>
      <c r="N50" s="58">
        <f>PSK_AT_verzia_4_0!N50-PSK_AT_verzia_3_5!N50</f>
        <v>0</v>
      </c>
      <c r="O50" s="58">
        <f>PSK_AT_verzia_4_0!O50-PSK_AT_verzia_3_5!O50</f>
        <v>0</v>
      </c>
      <c r="P50" s="58">
        <f>PSK_AT_verzia_4_0!P50-PSK_AT_verzia_3_5!P50</f>
        <v>0</v>
      </c>
      <c r="Q50" s="58">
        <f>PSK_AT_verzia_4_0!Q50-PSK_AT_verzia_3_5!Q50</f>
        <v>0</v>
      </c>
    </row>
    <row r="51" spans="1:17" ht="28.5" x14ac:dyDescent="0.35">
      <c r="A51" s="214"/>
      <c r="B51" s="215"/>
      <c r="C51" s="99">
        <f>PSK_AT_verzia_4_0!C51-PSK_AT_verzia_3_5!C51</f>
        <v>-5524304</v>
      </c>
      <c r="D51" s="60">
        <f>PSK_AT_verzia_4_0!D51-PSK_AT_verzia_3_5!D51</f>
        <v>0</v>
      </c>
      <c r="E51" s="60">
        <f>PSK_AT_verzia_4_0!E51-PSK_AT_verzia_3_5!E51</f>
        <v>0</v>
      </c>
      <c r="F51" s="61" t="s">
        <v>36</v>
      </c>
      <c r="G51" s="60">
        <f>PSK_AT_verzia_4_0!G51-PSK_AT_verzia_3_5!G51</f>
        <v>-26733265</v>
      </c>
      <c r="H51" s="60">
        <f>PSK_AT_verzia_4_0!H51-PSK_AT_verzia_3_5!H51</f>
        <v>-25943770</v>
      </c>
      <c r="I51" s="60">
        <f>PSK_AT_verzia_4_0!I51-PSK_AT_verzia_3_5!I51</f>
        <v>-789495</v>
      </c>
      <c r="J51" s="60">
        <f>PSK_AT_verzia_4_0!J51-PSK_AT_verzia_3_5!J51</f>
        <v>-26733265</v>
      </c>
      <c r="K51" s="60">
        <f>PSK_AT_verzia_4_0!K51-PSK_AT_verzia_3_5!K51</f>
        <v>-25943770</v>
      </c>
      <c r="L51" s="60">
        <f>PSK_AT_verzia_4_0!L51-PSK_AT_verzia_3_5!L51</f>
        <v>-789495</v>
      </c>
      <c r="M51" s="60">
        <f>PSK_AT_verzia_4_0!M51-PSK_AT_verzia_3_5!M51</f>
        <v>0</v>
      </c>
      <c r="N51" s="60">
        <f>PSK_AT_verzia_4_0!N51-PSK_AT_verzia_3_5!N51</f>
        <v>0</v>
      </c>
      <c r="O51" s="60">
        <f>PSK_AT_verzia_4_0!O51-PSK_AT_verzia_3_5!O51</f>
        <v>0</v>
      </c>
      <c r="P51" s="60">
        <f>PSK_AT_verzia_4_0!P51-PSK_AT_verzia_3_5!P51</f>
        <v>0</v>
      </c>
      <c r="Q51" s="60">
        <f>PSK_AT_verzia_4_0!Q51-PSK_AT_verzia_3_5!Q51</f>
        <v>0</v>
      </c>
    </row>
    <row r="52" spans="1:17" ht="28.5" x14ac:dyDescent="0.35">
      <c r="A52" s="214"/>
      <c r="B52" s="215"/>
      <c r="C52" s="200">
        <f>PSK_AT_verzia_4_0!C52-PSK_AT_verzia_3_5!C52</f>
        <v>0</v>
      </c>
      <c r="D52" s="200">
        <f>PSK_AT_verzia_4_0!D52-PSK_AT_verzia_3_5!D52</f>
        <v>0</v>
      </c>
      <c r="E52" s="200">
        <f>PSK_AT_verzia_4_0!E52-PSK_AT_verzia_3_5!E52</f>
        <v>0</v>
      </c>
      <c r="F52" s="66" t="s">
        <v>37</v>
      </c>
      <c r="G52" s="67">
        <f>PSK_AT_verzia_4_0!G52-PSK_AT_verzia_3_5!G52</f>
        <v>-21208961</v>
      </c>
      <c r="H52" s="67">
        <f>PSK_AT_verzia_4_0!H52-PSK_AT_verzia_3_5!H52</f>
        <v>-20419466</v>
      </c>
      <c r="I52" s="67">
        <f>PSK_AT_verzia_4_0!I52-PSK_AT_verzia_3_5!I52</f>
        <v>-789495</v>
      </c>
      <c r="J52" s="67">
        <f>PSK_AT_verzia_4_0!J52-PSK_AT_verzia_3_5!J52</f>
        <v>-21208961</v>
      </c>
      <c r="K52" s="67">
        <f>PSK_AT_verzia_4_0!K52-PSK_AT_verzia_3_5!K52</f>
        <v>-20419466</v>
      </c>
      <c r="L52" s="67">
        <f>PSK_AT_verzia_4_0!L52-PSK_AT_verzia_3_5!L52</f>
        <v>-789495</v>
      </c>
      <c r="M52" s="67">
        <f>PSK_AT_verzia_4_0!M52-PSK_AT_verzia_3_5!M52</f>
        <v>0</v>
      </c>
      <c r="N52" s="67">
        <f>PSK_AT_verzia_4_0!N52-PSK_AT_verzia_3_5!N52</f>
        <v>0</v>
      </c>
      <c r="O52" s="67">
        <f>PSK_AT_verzia_4_0!O52-PSK_AT_verzia_3_5!O52</f>
        <v>0</v>
      </c>
      <c r="P52" s="67">
        <f>PSK_AT_verzia_4_0!P52-PSK_AT_verzia_3_5!P52</f>
        <v>0</v>
      </c>
      <c r="Q52" s="67">
        <f>PSK_AT_verzia_4_0!Q52-PSK_AT_verzia_3_5!Q52</f>
        <v>0</v>
      </c>
    </row>
    <row r="53" spans="1:17" ht="28.5" x14ac:dyDescent="0.35">
      <c r="A53" s="214"/>
      <c r="B53" s="215"/>
      <c r="C53" s="200">
        <f>PSK_AT_verzia_4_0!C53-PSK_AT_verzia_3_5!C53</f>
        <v>0</v>
      </c>
      <c r="D53" s="200">
        <f>PSK_AT_verzia_4_0!D53-PSK_AT_verzia_3_5!D53</f>
        <v>0</v>
      </c>
      <c r="E53" s="200">
        <f>PSK_AT_verzia_4_0!E53-PSK_AT_verzia_3_5!E53</f>
        <v>0</v>
      </c>
      <c r="F53" s="66" t="s">
        <v>38</v>
      </c>
      <c r="G53" s="71">
        <f>PSK_AT_verzia_4_0!G53-PSK_AT_verzia_3_5!G53</f>
        <v>-77847</v>
      </c>
      <c r="H53" s="71">
        <f>PSK_AT_verzia_4_0!H53-PSK_AT_verzia_3_5!H53</f>
        <v>-77847</v>
      </c>
      <c r="I53" s="71">
        <f>PSK_AT_verzia_4_0!I53-PSK_AT_verzia_3_5!I53</f>
        <v>0</v>
      </c>
      <c r="J53" s="71">
        <f>PSK_AT_verzia_4_0!J53-PSK_AT_verzia_3_5!J53</f>
        <v>-77847</v>
      </c>
      <c r="K53" s="71">
        <f>PSK_AT_verzia_4_0!K53-PSK_AT_verzia_3_5!K53</f>
        <v>-77847</v>
      </c>
      <c r="L53" s="71">
        <f>PSK_AT_verzia_4_0!L53-PSK_AT_verzia_3_5!L53</f>
        <v>0</v>
      </c>
      <c r="M53" s="71">
        <f>PSK_AT_verzia_4_0!M53-PSK_AT_verzia_3_5!M53</f>
        <v>0</v>
      </c>
      <c r="N53" s="71">
        <f>PSK_AT_verzia_4_0!N53-PSK_AT_verzia_3_5!N53</f>
        <v>0</v>
      </c>
      <c r="O53" s="71">
        <f>PSK_AT_verzia_4_0!O53-PSK_AT_verzia_3_5!O53</f>
        <v>0</v>
      </c>
      <c r="P53" s="71">
        <f>PSK_AT_verzia_4_0!P53-PSK_AT_verzia_3_5!P53</f>
        <v>0</v>
      </c>
      <c r="Q53" s="71">
        <f>PSK_AT_verzia_4_0!Q53-PSK_AT_verzia_3_5!Q53</f>
        <v>0</v>
      </c>
    </row>
    <row r="54" spans="1:17" ht="28.5" x14ac:dyDescent="0.35">
      <c r="A54" s="214"/>
      <c r="B54" s="215"/>
      <c r="C54" s="200">
        <f>PSK_AT_verzia_4_0!C54-PSK_AT_verzia_3_5!C54</f>
        <v>0</v>
      </c>
      <c r="D54" s="200">
        <f>PSK_AT_verzia_4_0!D54-PSK_AT_verzia_3_5!D54</f>
        <v>0</v>
      </c>
      <c r="E54" s="200">
        <f>PSK_AT_verzia_4_0!E54-PSK_AT_verzia_3_5!E54</f>
        <v>0</v>
      </c>
      <c r="F54" s="66" t="s">
        <v>39</v>
      </c>
      <c r="G54" s="71">
        <f>PSK_AT_verzia_4_0!G54-PSK_AT_verzia_3_5!G54</f>
        <v>-5446457</v>
      </c>
      <c r="H54" s="71">
        <f>PSK_AT_verzia_4_0!H54-PSK_AT_verzia_3_5!H54</f>
        <v>-5446457</v>
      </c>
      <c r="I54" s="71">
        <f>PSK_AT_verzia_4_0!I54-PSK_AT_verzia_3_5!I54</f>
        <v>0</v>
      </c>
      <c r="J54" s="71">
        <f>PSK_AT_verzia_4_0!J54-PSK_AT_verzia_3_5!J54</f>
        <v>-5446457</v>
      </c>
      <c r="K54" s="71">
        <f>PSK_AT_verzia_4_0!K54-PSK_AT_verzia_3_5!K54</f>
        <v>-5446457</v>
      </c>
      <c r="L54" s="71">
        <f>PSK_AT_verzia_4_0!L54-PSK_AT_verzia_3_5!L54</f>
        <v>0</v>
      </c>
      <c r="M54" s="71">
        <f>PSK_AT_verzia_4_0!M54-PSK_AT_verzia_3_5!M54</f>
        <v>0</v>
      </c>
      <c r="N54" s="71">
        <f>PSK_AT_verzia_4_0!N54-PSK_AT_verzia_3_5!N54</f>
        <v>0</v>
      </c>
      <c r="O54" s="71">
        <f>PSK_AT_verzia_4_0!O54-PSK_AT_verzia_3_5!O54</f>
        <v>0</v>
      </c>
      <c r="P54" s="71">
        <f>PSK_AT_verzia_4_0!P54-PSK_AT_verzia_3_5!P54</f>
        <v>0</v>
      </c>
      <c r="Q54" s="71">
        <f>PSK_AT_verzia_4_0!Q54-PSK_AT_verzia_3_5!Q54</f>
        <v>0</v>
      </c>
    </row>
    <row r="55" spans="1:17" s="55" customFormat="1" ht="78" x14ac:dyDescent="0.35">
      <c r="A55" s="50" t="s">
        <v>63</v>
      </c>
      <c r="B55" s="51" t="s">
        <v>64</v>
      </c>
      <c r="C55" s="52">
        <f>PSK_AT_verzia_4_0!C55-PSK_AT_verzia_3_5!C55</f>
        <v>0</v>
      </c>
      <c r="D55" s="52">
        <f>PSK_AT_verzia_4_0!D55-PSK_AT_verzia_3_5!D55</f>
        <v>0</v>
      </c>
      <c r="E55" s="52">
        <f>PSK_AT_verzia_4_0!E55-PSK_AT_verzia_3_5!E55</f>
        <v>0</v>
      </c>
      <c r="F55" s="54" t="s">
        <v>65</v>
      </c>
      <c r="G55" s="52">
        <f>PSK_AT_verzia_4_0!G55-PSK_AT_verzia_3_5!G55</f>
        <v>-76004764</v>
      </c>
      <c r="H55" s="52">
        <f>PSK_AT_verzia_4_0!H55-PSK_AT_verzia_3_5!H55</f>
        <v>-71484225</v>
      </c>
      <c r="I55" s="52">
        <f>PSK_AT_verzia_4_0!I55-PSK_AT_verzia_3_5!I55</f>
        <v>-4520539</v>
      </c>
      <c r="J55" s="52">
        <f>PSK_AT_verzia_4_0!J55-PSK_AT_verzia_3_5!J55</f>
        <v>-76004764</v>
      </c>
      <c r="K55" s="52">
        <f>PSK_AT_verzia_4_0!K55-PSK_AT_verzia_3_5!K55</f>
        <v>-71484225</v>
      </c>
      <c r="L55" s="52">
        <f>PSK_AT_verzia_4_0!L55-PSK_AT_verzia_3_5!L55</f>
        <v>-4520539</v>
      </c>
      <c r="M55" s="52">
        <f>PSK_AT_verzia_4_0!M55-PSK_AT_verzia_3_5!M55</f>
        <v>0</v>
      </c>
      <c r="N55" s="52">
        <f>PSK_AT_verzia_4_0!N55-PSK_AT_verzia_3_5!N55</f>
        <v>0</v>
      </c>
      <c r="O55" s="52">
        <f>PSK_AT_verzia_4_0!O55-PSK_AT_verzia_3_5!O55</f>
        <v>0</v>
      </c>
      <c r="P55" s="52">
        <f>PSK_AT_verzia_4_0!P55-PSK_AT_verzia_3_5!P55</f>
        <v>0</v>
      </c>
      <c r="Q55" s="52">
        <f>PSK_AT_verzia_4_0!Q55-PSK_AT_verzia_3_5!Q55</f>
        <v>0</v>
      </c>
    </row>
    <row r="56" spans="1:17" ht="28.5" x14ac:dyDescent="0.35">
      <c r="A56" s="214" t="s">
        <v>66</v>
      </c>
      <c r="B56" s="215" t="s">
        <v>67</v>
      </c>
      <c r="C56" s="57">
        <f>PSK_AT_verzia_4_0!C56-PSK_AT_verzia_3_5!C56</f>
        <v>0</v>
      </c>
      <c r="D56" s="57">
        <f>PSK_AT_verzia_4_0!D56-PSK_AT_verzia_3_5!D56</f>
        <v>0</v>
      </c>
      <c r="E56" s="57">
        <f>PSK_AT_verzia_4_0!E56-PSK_AT_verzia_3_5!E56</f>
        <v>0</v>
      </c>
      <c r="F56" s="59" t="s">
        <v>68</v>
      </c>
      <c r="G56" s="58">
        <f>PSK_AT_verzia_4_0!G56-PSK_AT_verzia_3_5!G56</f>
        <v>-66279371</v>
      </c>
      <c r="H56" s="58">
        <f>PSK_AT_verzia_4_0!H56-PSK_AT_verzia_3_5!H56</f>
        <v>-63861742</v>
      </c>
      <c r="I56" s="58">
        <f>PSK_AT_verzia_4_0!I56-PSK_AT_verzia_3_5!I56</f>
        <v>-2417629</v>
      </c>
      <c r="J56" s="58">
        <f>PSK_AT_verzia_4_0!J56-PSK_AT_verzia_3_5!J56</f>
        <v>-66279371</v>
      </c>
      <c r="K56" s="58">
        <f>PSK_AT_verzia_4_0!K56-PSK_AT_verzia_3_5!K56</f>
        <v>-63861742</v>
      </c>
      <c r="L56" s="58">
        <f>PSK_AT_verzia_4_0!L56-PSK_AT_verzia_3_5!L56</f>
        <v>-2417629</v>
      </c>
      <c r="M56" s="58">
        <f>PSK_AT_verzia_4_0!M56-PSK_AT_verzia_3_5!M56</f>
        <v>0</v>
      </c>
      <c r="N56" s="58">
        <f>PSK_AT_verzia_4_0!N56-PSK_AT_verzia_3_5!N56</f>
        <v>0</v>
      </c>
      <c r="O56" s="58">
        <f>PSK_AT_verzia_4_0!O56-PSK_AT_verzia_3_5!O56</f>
        <v>0</v>
      </c>
      <c r="P56" s="58">
        <f>PSK_AT_verzia_4_0!P56-PSK_AT_verzia_3_5!P56</f>
        <v>0</v>
      </c>
      <c r="Q56" s="58">
        <f>PSK_AT_verzia_4_0!Q56-PSK_AT_verzia_3_5!Q56</f>
        <v>0</v>
      </c>
    </row>
    <row r="57" spans="1:17" ht="28.5" x14ac:dyDescent="0.35">
      <c r="A57" s="214"/>
      <c r="B57" s="215"/>
      <c r="C57" s="60">
        <f>PSK_AT_verzia_4_0!C57-PSK_AT_verzia_3_5!C57</f>
        <v>0</v>
      </c>
      <c r="D57" s="60">
        <f>PSK_AT_verzia_4_0!D57-PSK_AT_verzia_3_5!D57</f>
        <v>0</v>
      </c>
      <c r="E57" s="72">
        <f>PSK_AT_verzia_4_0!E57-PSK_AT_verzia_3_5!E57</f>
        <v>0</v>
      </c>
      <c r="F57" s="61" t="s">
        <v>40</v>
      </c>
      <c r="G57" s="60">
        <f>PSK_AT_verzia_4_0!G57-PSK_AT_verzia_3_5!G57</f>
        <v>-66279371</v>
      </c>
      <c r="H57" s="60">
        <f>PSK_AT_verzia_4_0!H57-PSK_AT_verzia_3_5!H57</f>
        <v>-63861742</v>
      </c>
      <c r="I57" s="60">
        <f>PSK_AT_verzia_4_0!I57-PSK_AT_verzia_3_5!I57</f>
        <v>-2417629</v>
      </c>
      <c r="J57" s="60">
        <f>PSK_AT_verzia_4_0!J57-PSK_AT_verzia_3_5!J57</f>
        <v>-66279371</v>
      </c>
      <c r="K57" s="60">
        <f>PSK_AT_verzia_4_0!K57-PSK_AT_verzia_3_5!K57</f>
        <v>-63861742</v>
      </c>
      <c r="L57" s="60">
        <f>PSK_AT_verzia_4_0!L57-PSK_AT_verzia_3_5!L57</f>
        <v>-2417629</v>
      </c>
      <c r="M57" s="60">
        <f>PSK_AT_verzia_4_0!M57-PSK_AT_verzia_3_5!M57</f>
        <v>0</v>
      </c>
      <c r="N57" s="60">
        <f>PSK_AT_verzia_4_0!N57-PSK_AT_verzia_3_5!N57</f>
        <v>0</v>
      </c>
      <c r="O57" s="60">
        <f>PSK_AT_verzia_4_0!O57-PSK_AT_verzia_3_5!O57</f>
        <v>0</v>
      </c>
      <c r="P57" s="60">
        <f>PSK_AT_verzia_4_0!P57-PSK_AT_verzia_3_5!P57</f>
        <v>0</v>
      </c>
      <c r="Q57" s="60">
        <f>PSK_AT_verzia_4_0!Q57-PSK_AT_verzia_3_5!Q57</f>
        <v>0</v>
      </c>
    </row>
    <row r="58" spans="1:17" ht="28.5" x14ac:dyDescent="0.35">
      <c r="A58" s="214"/>
      <c r="B58" s="215"/>
      <c r="C58" s="200">
        <f>PSK_AT_verzia_4_0!C58-PSK_AT_verzia_3_5!C58</f>
        <v>0</v>
      </c>
      <c r="D58" s="200">
        <f>PSK_AT_verzia_4_0!D58-PSK_AT_verzia_3_5!D58</f>
        <v>0</v>
      </c>
      <c r="E58" s="200">
        <f>PSK_AT_verzia_4_0!E58-PSK_AT_verzia_3_5!E58</f>
        <v>0</v>
      </c>
      <c r="F58" s="66" t="s">
        <v>41</v>
      </c>
      <c r="G58" s="67">
        <f>PSK_AT_verzia_4_0!G58-PSK_AT_verzia_3_5!G58</f>
        <v>-66279371</v>
      </c>
      <c r="H58" s="67">
        <f>PSK_AT_verzia_4_0!H58-PSK_AT_verzia_3_5!H58</f>
        <v>-63861742</v>
      </c>
      <c r="I58" s="67">
        <f>PSK_AT_verzia_4_0!I58-PSK_AT_verzia_3_5!I58</f>
        <v>-2417629</v>
      </c>
      <c r="J58" s="67">
        <f>PSK_AT_verzia_4_0!J58-PSK_AT_verzia_3_5!J58</f>
        <v>-66279371</v>
      </c>
      <c r="K58" s="67">
        <f>PSK_AT_verzia_4_0!K58-PSK_AT_verzia_3_5!K58</f>
        <v>-63861742</v>
      </c>
      <c r="L58" s="67">
        <f>PSK_AT_verzia_4_0!L58-PSK_AT_verzia_3_5!L58</f>
        <v>-2417629</v>
      </c>
      <c r="M58" s="67">
        <f>PSK_AT_verzia_4_0!M58-PSK_AT_verzia_3_5!M58</f>
        <v>0</v>
      </c>
      <c r="N58" s="67">
        <f>PSK_AT_verzia_4_0!N58-PSK_AT_verzia_3_5!N58</f>
        <v>0</v>
      </c>
      <c r="O58" s="67">
        <f>PSK_AT_verzia_4_0!O58-PSK_AT_verzia_3_5!O58</f>
        <v>0</v>
      </c>
      <c r="P58" s="67">
        <f>PSK_AT_verzia_4_0!P58-PSK_AT_verzia_3_5!P58</f>
        <v>0</v>
      </c>
      <c r="Q58" s="67">
        <f>PSK_AT_verzia_4_0!Q58-PSK_AT_verzia_3_5!Q58</f>
        <v>0</v>
      </c>
    </row>
    <row r="59" spans="1:17" ht="28.5" x14ac:dyDescent="0.35">
      <c r="A59" s="214"/>
      <c r="B59" s="215"/>
      <c r="C59" s="200">
        <f>PSK_AT_verzia_4_0!C59-PSK_AT_verzia_3_5!C59</f>
        <v>0</v>
      </c>
      <c r="D59" s="200">
        <f>PSK_AT_verzia_4_0!D59-PSK_AT_verzia_3_5!D59</f>
        <v>0</v>
      </c>
      <c r="E59" s="200">
        <f>PSK_AT_verzia_4_0!E59-PSK_AT_verzia_3_5!E59</f>
        <v>0</v>
      </c>
      <c r="F59" s="66" t="s">
        <v>42</v>
      </c>
      <c r="G59" s="74">
        <f>PSK_AT_verzia_4_0!G59-PSK_AT_verzia_3_5!G59</f>
        <v>0</v>
      </c>
      <c r="H59" s="74">
        <f>PSK_AT_verzia_4_0!H59-PSK_AT_verzia_3_5!H59</f>
        <v>0</v>
      </c>
      <c r="I59" s="74">
        <f>PSK_AT_verzia_4_0!I59-PSK_AT_verzia_3_5!I59</f>
        <v>0</v>
      </c>
      <c r="J59" s="74">
        <f>PSK_AT_verzia_4_0!J59-PSK_AT_verzia_3_5!J59</f>
        <v>0</v>
      </c>
      <c r="K59" s="74">
        <f>PSK_AT_verzia_4_0!K59-PSK_AT_verzia_3_5!K59</f>
        <v>0</v>
      </c>
      <c r="L59" s="74">
        <f>PSK_AT_verzia_4_0!L59-PSK_AT_verzia_3_5!L59</f>
        <v>0</v>
      </c>
      <c r="M59" s="74">
        <f>PSK_AT_verzia_4_0!M59-PSK_AT_verzia_3_5!M59</f>
        <v>0</v>
      </c>
      <c r="N59" s="74">
        <f>PSK_AT_verzia_4_0!N59-PSK_AT_verzia_3_5!N59</f>
        <v>0</v>
      </c>
      <c r="O59" s="74">
        <f>PSK_AT_verzia_4_0!O59-PSK_AT_verzia_3_5!O59</f>
        <v>0</v>
      </c>
      <c r="P59" s="74">
        <f>PSK_AT_verzia_4_0!P59-PSK_AT_verzia_3_5!P59</f>
        <v>0</v>
      </c>
      <c r="Q59" s="74">
        <f>PSK_AT_verzia_4_0!Q59-PSK_AT_verzia_3_5!Q59</f>
        <v>0</v>
      </c>
    </row>
    <row r="60" spans="1:17" ht="28.5" x14ac:dyDescent="0.35">
      <c r="A60" s="214" t="s">
        <v>69</v>
      </c>
      <c r="B60" s="215" t="s">
        <v>70</v>
      </c>
      <c r="C60" s="57">
        <f>PSK_AT_verzia_4_0!C60-PSK_AT_verzia_3_5!C60</f>
        <v>0</v>
      </c>
      <c r="D60" s="57">
        <f>PSK_AT_verzia_4_0!D60-PSK_AT_verzia_3_5!D60</f>
        <v>0</v>
      </c>
      <c r="E60" s="57">
        <f>PSK_AT_verzia_4_0!E60-PSK_AT_verzia_3_5!E60</f>
        <v>0</v>
      </c>
      <c r="F60" s="59" t="s">
        <v>71</v>
      </c>
      <c r="G60" s="58">
        <f>PSK_AT_verzia_4_0!G60-PSK_AT_verzia_3_5!G60</f>
        <v>-1104764</v>
      </c>
      <c r="H60" s="58">
        <f>PSK_AT_verzia_4_0!H60-PSK_AT_verzia_3_5!H60</f>
        <v>-909806</v>
      </c>
      <c r="I60" s="58">
        <f>PSK_AT_verzia_4_0!I60-PSK_AT_verzia_3_5!I60</f>
        <v>-194958</v>
      </c>
      <c r="J60" s="58">
        <f>PSK_AT_verzia_4_0!J60-PSK_AT_verzia_3_5!J60</f>
        <v>-1104764</v>
      </c>
      <c r="K60" s="58">
        <f>PSK_AT_verzia_4_0!K60-PSK_AT_verzia_3_5!K60</f>
        <v>-909806</v>
      </c>
      <c r="L60" s="58">
        <f>PSK_AT_verzia_4_0!L60-PSK_AT_verzia_3_5!L60</f>
        <v>-194958</v>
      </c>
      <c r="M60" s="58">
        <f>PSK_AT_verzia_4_0!M60-PSK_AT_verzia_3_5!M60</f>
        <v>0</v>
      </c>
      <c r="N60" s="58">
        <f>PSK_AT_verzia_4_0!N60-PSK_AT_verzia_3_5!N60</f>
        <v>0</v>
      </c>
      <c r="O60" s="58">
        <f>PSK_AT_verzia_4_0!O60-PSK_AT_verzia_3_5!O60</f>
        <v>0</v>
      </c>
      <c r="P60" s="58">
        <f>PSK_AT_verzia_4_0!P60-PSK_AT_verzia_3_5!P60</f>
        <v>0</v>
      </c>
      <c r="Q60" s="58">
        <f>PSK_AT_verzia_4_0!Q60-PSK_AT_verzia_3_5!Q60</f>
        <v>0</v>
      </c>
    </row>
    <row r="61" spans="1:17" ht="28.5" x14ac:dyDescent="0.35">
      <c r="A61" s="214"/>
      <c r="B61" s="215"/>
      <c r="C61" s="60">
        <f>PSK_AT_verzia_4_0!C61-PSK_AT_verzia_3_5!C61</f>
        <v>0</v>
      </c>
      <c r="D61" s="60">
        <f>PSK_AT_verzia_4_0!D61-PSK_AT_verzia_3_5!D61</f>
        <v>0</v>
      </c>
      <c r="E61" s="60">
        <f>PSK_AT_verzia_4_0!E61-PSK_AT_verzia_3_5!E61</f>
        <v>0</v>
      </c>
      <c r="F61" s="61" t="s">
        <v>40</v>
      </c>
      <c r="G61" s="60">
        <f>PSK_AT_verzia_4_0!G61-PSK_AT_verzia_3_5!G61</f>
        <v>-1104764</v>
      </c>
      <c r="H61" s="60">
        <f>PSK_AT_verzia_4_0!H61-PSK_AT_verzia_3_5!H61</f>
        <v>-909806</v>
      </c>
      <c r="I61" s="60">
        <f>PSK_AT_verzia_4_0!I61-PSK_AT_verzia_3_5!I61</f>
        <v>-194958</v>
      </c>
      <c r="J61" s="60">
        <f>PSK_AT_verzia_4_0!J61-PSK_AT_verzia_3_5!J61</f>
        <v>-1104764</v>
      </c>
      <c r="K61" s="60">
        <f>PSK_AT_verzia_4_0!K61-PSK_AT_verzia_3_5!K61</f>
        <v>-909806</v>
      </c>
      <c r="L61" s="60">
        <f>PSK_AT_verzia_4_0!L61-PSK_AT_verzia_3_5!L61</f>
        <v>-194958</v>
      </c>
      <c r="M61" s="60">
        <f>PSK_AT_verzia_4_0!M61-PSK_AT_verzia_3_5!M61</f>
        <v>0</v>
      </c>
      <c r="N61" s="60">
        <f>PSK_AT_verzia_4_0!N61-PSK_AT_verzia_3_5!N61</f>
        <v>0</v>
      </c>
      <c r="O61" s="60">
        <f>PSK_AT_verzia_4_0!O61-PSK_AT_verzia_3_5!O61</f>
        <v>0</v>
      </c>
      <c r="P61" s="60">
        <f>PSK_AT_verzia_4_0!P61-PSK_AT_verzia_3_5!P61</f>
        <v>0</v>
      </c>
      <c r="Q61" s="60">
        <f>PSK_AT_verzia_4_0!Q61-PSK_AT_verzia_3_5!Q61</f>
        <v>0</v>
      </c>
    </row>
    <row r="62" spans="1:17" ht="28.5" x14ac:dyDescent="0.35">
      <c r="A62" s="214"/>
      <c r="B62" s="215"/>
      <c r="C62" s="200">
        <f>PSK_AT_verzia_4_0!C62-PSK_AT_verzia_3_5!C62</f>
        <v>0</v>
      </c>
      <c r="D62" s="200">
        <f>PSK_AT_verzia_4_0!D62-PSK_AT_verzia_3_5!D62</f>
        <v>0</v>
      </c>
      <c r="E62" s="200">
        <f>PSK_AT_verzia_4_0!E62-PSK_AT_verzia_3_5!E62</f>
        <v>0</v>
      </c>
      <c r="F62" s="66" t="s">
        <v>41</v>
      </c>
      <c r="G62" s="67">
        <f>PSK_AT_verzia_4_0!G62-PSK_AT_verzia_3_5!G62</f>
        <v>-1104764</v>
      </c>
      <c r="H62" s="67">
        <f>PSK_AT_verzia_4_0!H62-PSK_AT_verzia_3_5!H62</f>
        <v>-909806</v>
      </c>
      <c r="I62" s="67">
        <f>PSK_AT_verzia_4_0!I62-PSK_AT_verzia_3_5!I62</f>
        <v>-194958</v>
      </c>
      <c r="J62" s="67">
        <f>PSK_AT_verzia_4_0!J62-PSK_AT_verzia_3_5!J62</f>
        <v>-1104764</v>
      </c>
      <c r="K62" s="67">
        <f>PSK_AT_verzia_4_0!K62-PSK_AT_verzia_3_5!K62</f>
        <v>-909806</v>
      </c>
      <c r="L62" s="67">
        <f>PSK_AT_verzia_4_0!L62-PSK_AT_verzia_3_5!L62</f>
        <v>-194958</v>
      </c>
      <c r="M62" s="67">
        <f>PSK_AT_verzia_4_0!M62-PSK_AT_verzia_3_5!M62</f>
        <v>0</v>
      </c>
      <c r="N62" s="67">
        <f>PSK_AT_verzia_4_0!N62-PSK_AT_verzia_3_5!N62</f>
        <v>0</v>
      </c>
      <c r="O62" s="67">
        <f>PSK_AT_verzia_4_0!O62-PSK_AT_verzia_3_5!O62</f>
        <v>0</v>
      </c>
      <c r="P62" s="67">
        <f>PSK_AT_verzia_4_0!P62-PSK_AT_verzia_3_5!P62</f>
        <v>0</v>
      </c>
      <c r="Q62" s="67">
        <f>PSK_AT_verzia_4_0!Q62-PSK_AT_verzia_3_5!Q62</f>
        <v>0</v>
      </c>
    </row>
    <row r="63" spans="1:17" ht="28.5" x14ac:dyDescent="0.35">
      <c r="A63" s="214" t="s">
        <v>72</v>
      </c>
      <c r="B63" s="215" t="s">
        <v>73</v>
      </c>
      <c r="C63" s="57">
        <f>PSK_AT_verzia_4_0!C63-PSK_AT_verzia_3_5!C63</f>
        <v>0</v>
      </c>
      <c r="D63" s="57">
        <f>PSK_AT_verzia_4_0!D63-PSK_AT_verzia_3_5!D63</f>
        <v>0</v>
      </c>
      <c r="E63" s="57">
        <f>PSK_AT_verzia_4_0!E63-PSK_AT_verzia_3_5!E63</f>
        <v>0</v>
      </c>
      <c r="F63" s="59" t="s">
        <v>74</v>
      </c>
      <c r="G63" s="58">
        <f>PSK_AT_verzia_4_0!G63-PSK_AT_verzia_3_5!G63</f>
        <v>-8620629</v>
      </c>
      <c r="H63" s="58">
        <f>PSK_AT_verzia_4_0!H63-PSK_AT_verzia_3_5!H63</f>
        <v>-6712677</v>
      </c>
      <c r="I63" s="58">
        <f>PSK_AT_verzia_4_0!I63-PSK_AT_verzia_3_5!I63</f>
        <v>-1907952</v>
      </c>
      <c r="J63" s="58">
        <f>PSK_AT_verzia_4_0!J63-PSK_AT_verzia_3_5!J63</f>
        <v>-8620629</v>
      </c>
      <c r="K63" s="58">
        <f>PSK_AT_verzia_4_0!K63-PSK_AT_verzia_3_5!K63</f>
        <v>-6712677</v>
      </c>
      <c r="L63" s="58">
        <f>PSK_AT_verzia_4_0!L63-PSK_AT_verzia_3_5!L63</f>
        <v>-1907952</v>
      </c>
      <c r="M63" s="58">
        <f>PSK_AT_verzia_4_0!M63-PSK_AT_verzia_3_5!M63</f>
        <v>0</v>
      </c>
      <c r="N63" s="58">
        <f>PSK_AT_verzia_4_0!N63-PSK_AT_verzia_3_5!N63</f>
        <v>0</v>
      </c>
      <c r="O63" s="58">
        <f>PSK_AT_verzia_4_0!O63-PSK_AT_verzia_3_5!O63</f>
        <v>0</v>
      </c>
      <c r="P63" s="58">
        <f>PSK_AT_verzia_4_0!P63-PSK_AT_verzia_3_5!P63</f>
        <v>0</v>
      </c>
      <c r="Q63" s="58">
        <f>PSK_AT_verzia_4_0!Q63-PSK_AT_verzia_3_5!Q63</f>
        <v>0</v>
      </c>
    </row>
    <row r="64" spans="1:17" ht="28.5" x14ac:dyDescent="0.35">
      <c r="A64" s="214"/>
      <c r="B64" s="215"/>
      <c r="C64" s="60">
        <f>PSK_AT_verzia_4_0!C64-PSK_AT_verzia_3_5!C64</f>
        <v>0</v>
      </c>
      <c r="D64" s="60">
        <f>PSK_AT_verzia_4_0!D64-PSK_AT_verzia_3_5!D64</f>
        <v>0</v>
      </c>
      <c r="E64" s="60">
        <f>PSK_AT_verzia_4_0!E64-PSK_AT_verzia_3_5!E64</f>
        <v>0</v>
      </c>
      <c r="F64" s="61" t="s">
        <v>40</v>
      </c>
      <c r="G64" s="60">
        <f>PSK_AT_verzia_4_0!G64-PSK_AT_verzia_3_5!G64</f>
        <v>-8620629</v>
      </c>
      <c r="H64" s="60">
        <f>PSK_AT_verzia_4_0!H64-PSK_AT_verzia_3_5!H64</f>
        <v>-6712677</v>
      </c>
      <c r="I64" s="60">
        <f>PSK_AT_verzia_4_0!I64-PSK_AT_verzia_3_5!I64</f>
        <v>-1907952</v>
      </c>
      <c r="J64" s="60">
        <f>PSK_AT_verzia_4_0!J64-PSK_AT_verzia_3_5!J64</f>
        <v>-8620629</v>
      </c>
      <c r="K64" s="60">
        <f>PSK_AT_verzia_4_0!K64-PSK_AT_verzia_3_5!K64</f>
        <v>-6712677</v>
      </c>
      <c r="L64" s="60">
        <f>PSK_AT_verzia_4_0!L64-PSK_AT_verzia_3_5!L64</f>
        <v>-1907952</v>
      </c>
      <c r="M64" s="60">
        <f>PSK_AT_verzia_4_0!M64-PSK_AT_verzia_3_5!M64</f>
        <v>0</v>
      </c>
      <c r="N64" s="60">
        <f>PSK_AT_verzia_4_0!N64-PSK_AT_verzia_3_5!N64</f>
        <v>0</v>
      </c>
      <c r="O64" s="60">
        <f>PSK_AT_verzia_4_0!O64-PSK_AT_verzia_3_5!O64</f>
        <v>0</v>
      </c>
      <c r="P64" s="60">
        <f>PSK_AT_verzia_4_0!P64-PSK_AT_verzia_3_5!P64</f>
        <v>0</v>
      </c>
      <c r="Q64" s="60">
        <f>PSK_AT_verzia_4_0!Q64-PSK_AT_verzia_3_5!Q64</f>
        <v>0</v>
      </c>
    </row>
    <row r="65" spans="1:17" ht="28.5" x14ac:dyDescent="0.35">
      <c r="A65" s="214"/>
      <c r="B65" s="215"/>
      <c r="C65" s="200">
        <f>PSK_AT_verzia_4_0!C65-PSK_AT_verzia_3_5!C65</f>
        <v>0</v>
      </c>
      <c r="D65" s="200">
        <f>PSK_AT_verzia_4_0!D65-PSK_AT_verzia_3_5!D65</f>
        <v>0</v>
      </c>
      <c r="E65" s="200">
        <f>PSK_AT_verzia_4_0!E65-PSK_AT_verzia_3_5!E65</f>
        <v>0</v>
      </c>
      <c r="F65" s="66" t="s">
        <v>41</v>
      </c>
      <c r="G65" s="67">
        <f>PSK_AT_verzia_4_0!G65-PSK_AT_verzia_3_5!G65</f>
        <v>-8620629</v>
      </c>
      <c r="H65" s="67">
        <f>PSK_AT_verzia_4_0!H65-PSK_AT_verzia_3_5!H65</f>
        <v>-6712677</v>
      </c>
      <c r="I65" s="67">
        <f>PSK_AT_verzia_4_0!I65-PSK_AT_verzia_3_5!I65</f>
        <v>-1907952</v>
      </c>
      <c r="J65" s="67">
        <f>PSK_AT_verzia_4_0!J65-PSK_AT_verzia_3_5!J65</f>
        <v>-8620629</v>
      </c>
      <c r="K65" s="67">
        <f>PSK_AT_verzia_4_0!K65-PSK_AT_verzia_3_5!K65</f>
        <v>-6712677</v>
      </c>
      <c r="L65" s="67">
        <f>PSK_AT_verzia_4_0!L65-PSK_AT_verzia_3_5!L65</f>
        <v>-1907952</v>
      </c>
      <c r="M65" s="67">
        <f>PSK_AT_verzia_4_0!M65-PSK_AT_verzia_3_5!M65</f>
        <v>0</v>
      </c>
      <c r="N65" s="67">
        <f>PSK_AT_verzia_4_0!N65-PSK_AT_verzia_3_5!N65</f>
        <v>0</v>
      </c>
      <c r="O65" s="67">
        <f>PSK_AT_verzia_4_0!O65-PSK_AT_verzia_3_5!O65</f>
        <v>0</v>
      </c>
      <c r="P65" s="67">
        <f>PSK_AT_verzia_4_0!P65-PSK_AT_verzia_3_5!P65</f>
        <v>0</v>
      </c>
      <c r="Q65" s="67">
        <f>PSK_AT_verzia_4_0!Q65-PSK_AT_verzia_3_5!Q65</f>
        <v>0</v>
      </c>
    </row>
    <row r="66" spans="1:17" s="75" customFormat="1" ht="52" x14ac:dyDescent="0.35">
      <c r="A66" s="50" t="s">
        <v>75</v>
      </c>
      <c r="B66" s="51" t="s">
        <v>76</v>
      </c>
      <c r="C66" s="52">
        <f>PSK_AT_verzia_4_0!C66-PSK_AT_verzia_3_5!C66</f>
        <v>5302568</v>
      </c>
      <c r="D66" s="52">
        <f>PSK_AT_verzia_4_0!D66-PSK_AT_verzia_3_5!D66</f>
        <v>0</v>
      </c>
      <c r="E66" s="52">
        <f>PSK_AT_verzia_4_0!E66-PSK_AT_verzia_3_5!E66</f>
        <v>0</v>
      </c>
      <c r="F66" s="54" t="s">
        <v>77</v>
      </c>
      <c r="G66" s="52">
        <f>PSK_AT_verzia_4_0!G66-PSK_AT_verzia_3_5!G66</f>
        <v>-18412338</v>
      </c>
      <c r="H66" s="52">
        <f>PSK_AT_verzia_4_0!H66-PSK_AT_verzia_3_5!H66</f>
        <v>-18839895</v>
      </c>
      <c r="I66" s="52">
        <f>PSK_AT_verzia_4_0!I66-PSK_AT_verzia_3_5!I66</f>
        <v>427557</v>
      </c>
      <c r="J66" s="52">
        <f>PSK_AT_verzia_4_0!J66-PSK_AT_verzia_3_5!J66</f>
        <v>-18412338</v>
      </c>
      <c r="K66" s="52">
        <f>PSK_AT_verzia_4_0!K66-PSK_AT_verzia_3_5!K66</f>
        <v>-18839895</v>
      </c>
      <c r="L66" s="52">
        <f>PSK_AT_verzia_4_0!L66-PSK_AT_verzia_3_5!L66</f>
        <v>427557</v>
      </c>
      <c r="M66" s="52">
        <f>PSK_AT_verzia_4_0!M66-PSK_AT_verzia_3_5!M66</f>
        <v>0</v>
      </c>
      <c r="N66" s="52">
        <f>PSK_AT_verzia_4_0!N66-PSK_AT_verzia_3_5!N66</f>
        <v>0</v>
      </c>
      <c r="O66" s="52">
        <f>PSK_AT_verzia_4_0!O66-PSK_AT_verzia_3_5!O66</f>
        <v>0</v>
      </c>
      <c r="P66" s="52">
        <f>PSK_AT_verzia_4_0!P66-PSK_AT_verzia_3_5!P66</f>
        <v>0</v>
      </c>
      <c r="Q66" s="52">
        <f>PSK_AT_verzia_4_0!Q66-PSK_AT_verzia_3_5!Q66</f>
        <v>0</v>
      </c>
    </row>
    <row r="67" spans="1:17" ht="28.5" customHeight="1" x14ac:dyDescent="0.35">
      <c r="A67" s="214" t="s">
        <v>78</v>
      </c>
      <c r="B67" s="215" t="s">
        <v>79</v>
      </c>
      <c r="C67" s="57">
        <f>PSK_AT_verzia_4_0!C67-PSK_AT_verzia_3_5!C67</f>
        <v>5302568</v>
      </c>
      <c r="D67" s="57">
        <f>PSK_AT_verzia_4_0!D67-PSK_AT_verzia_3_5!D67</f>
        <v>0</v>
      </c>
      <c r="E67" s="57">
        <f>PSK_AT_verzia_4_0!E67-PSK_AT_verzia_3_5!E67</f>
        <v>0</v>
      </c>
      <c r="F67" s="59" t="s">
        <v>80</v>
      </c>
      <c r="G67" s="58">
        <f>PSK_AT_verzia_4_0!G67-PSK_AT_verzia_3_5!G67</f>
        <v>-9997432</v>
      </c>
      <c r="H67" s="58">
        <f>PSK_AT_verzia_4_0!H67-PSK_AT_verzia_3_5!H67</f>
        <v>-11497432</v>
      </c>
      <c r="I67" s="58">
        <f>PSK_AT_verzia_4_0!I67-PSK_AT_verzia_3_5!I67</f>
        <v>1500000</v>
      </c>
      <c r="J67" s="58">
        <f>PSK_AT_verzia_4_0!J67-PSK_AT_verzia_3_5!J67</f>
        <v>-9997432</v>
      </c>
      <c r="K67" s="58">
        <f>PSK_AT_verzia_4_0!K67-PSK_AT_verzia_3_5!K67</f>
        <v>-11497432</v>
      </c>
      <c r="L67" s="58">
        <f>PSK_AT_verzia_4_0!L67-PSK_AT_verzia_3_5!L67</f>
        <v>1500000</v>
      </c>
      <c r="M67" s="58">
        <f>PSK_AT_verzia_4_0!M67-PSK_AT_verzia_3_5!M67</f>
        <v>0</v>
      </c>
      <c r="N67" s="58">
        <f>PSK_AT_verzia_4_0!N67-PSK_AT_verzia_3_5!N67</f>
        <v>0</v>
      </c>
      <c r="O67" s="58">
        <f>PSK_AT_verzia_4_0!O67-PSK_AT_verzia_3_5!O67</f>
        <v>0</v>
      </c>
      <c r="P67" s="58">
        <f>PSK_AT_verzia_4_0!P67-PSK_AT_verzia_3_5!P67</f>
        <v>0</v>
      </c>
      <c r="Q67" s="58">
        <f>PSK_AT_verzia_4_0!Q67-PSK_AT_verzia_3_5!Q67</f>
        <v>0</v>
      </c>
    </row>
    <row r="68" spans="1:17" ht="28.5" x14ac:dyDescent="0.35">
      <c r="A68" s="214"/>
      <c r="B68" s="215"/>
      <c r="C68" s="60">
        <f>PSK_AT_verzia_4_0!C68-PSK_AT_verzia_3_5!C68</f>
        <v>0</v>
      </c>
      <c r="D68" s="60">
        <f>PSK_AT_verzia_4_0!D68-PSK_AT_verzia_3_5!D68</f>
        <v>0</v>
      </c>
      <c r="E68" s="60">
        <f>PSK_AT_verzia_4_0!E68-PSK_AT_verzia_3_5!E68</f>
        <v>0</v>
      </c>
      <c r="F68" s="61" t="s">
        <v>34</v>
      </c>
      <c r="G68" s="60">
        <f>PSK_AT_verzia_4_0!G68-PSK_AT_verzia_3_5!G68</f>
        <v>-15300000</v>
      </c>
      <c r="H68" s="60">
        <f>PSK_AT_verzia_4_0!H68-PSK_AT_verzia_3_5!H68</f>
        <v>-16800000</v>
      </c>
      <c r="I68" s="60">
        <f>PSK_AT_verzia_4_0!I68-PSK_AT_verzia_3_5!I68</f>
        <v>1500000</v>
      </c>
      <c r="J68" s="60">
        <f>PSK_AT_verzia_4_0!J68-PSK_AT_verzia_3_5!J68</f>
        <v>-15300000</v>
      </c>
      <c r="K68" s="60">
        <f>PSK_AT_verzia_4_0!K68-PSK_AT_verzia_3_5!K68</f>
        <v>-16800000</v>
      </c>
      <c r="L68" s="60">
        <f>PSK_AT_verzia_4_0!L68-PSK_AT_verzia_3_5!L68</f>
        <v>1500000</v>
      </c>
      <c r="M68" s="60">
        <f>PSK_AT_verzia_4_0!M68-PSK_AT_verzia_3_5!M68</f>
        <v>0</v>
      </c>
      <c r="N68" s="60">
        <f>PSK_AT_verzia_4_0!N68-PSK_AT_verzia_3_5!N68</f>
        <v>0</v>
      </c>
      <c r="O68" s="60">
        <f>PSK_AT_verzia_4_0!O68-PSK_AT_verzia_3_5!O68</f>
        <v>0</v>
      </c>
      <c r="P68" s="60">
        <f>PSK_AT_verzia_4_0!P68-PSK_AT_verzia_3_5!P68</f>
        <v>0</v>
      </c>
      <c r="Q68" s="60">
        <f>PSK_AT_verzia_4_0!Q68-PSK_AT_verzia_3_5!Q68</f>
        <v>0</v>
      </c>
    </row>
    <row r="69" spans="1:17" ht="28.5" x14ac:dyDescent="0.35">
      <c r="A69" s="214"/>
      <c r="B69" s="215"/>
      <c r="C69" s="200">
        <f>PSK_AT_verzia_4_0!C69-PSK_AT_verzia_3_5!C69</f>
        <v>0</v>
      </c>
      <c r="D69" s="200">
        <f>PSK_AT_verzia_4_0!D69-PSK_AT_verzia_3_5!D69</f>
        <v>0</v>
      </c>
      <c r="E69" s="200">
        <f>PSK_AT_verzia_4_0!E69-PSK_AT_verzia_3_5!E69</f>
        <v>0</v>
      </c>
      <c r="F69" s="66" t="s">
        <v>35</v>
      </c>
      <c r="G69" s="67">
        <f>PSK_AT_verzia_4_0!G69-PSK_AT_verzia_3_5!G69</f>
        <v>-15300000</v>
      </c>
      <c r="H69" s="67">
        <f>PSK_AT_verzia_4_0!H69-PSK_AT_verzia_3_5!H69</f>
        <v>-16800000</v>
      </c>
      <c r="I69" s="67">
        <f>PSK_AT_verzia_4_0!I69-PSK_AT_verzia_3_5!I69</f>
        <v>1500000</v>
      </c>
      <c r="J69" s="67">
        <f>PSK_AT_verzia_4_0!J69-PSK_AT_verzia_3_5!J69</f>
        <v>-15300000</v>
      </c>
      <c r="K69" s="67">
        <f>PSK_AT_verzia_4_0!K69-PSK_AT_verzia_3_5!K69</f>
        <v>-16800000</v>
      </c>
      <c r="L69" s="67">
        <f>PSK_AT_verzia_4_0!L69-PSK_AT_verzia_3_5!L69</f>
        <v>1500000</v>
      </c>
      <c r="M69" s="67">
        <f>PSK_AT_verzia_4_0!M69-PSK_AT_verzia_3_5!M69</f>
        <v>0</v>
      </c>
      <c r="N69" s="67">
        <f>PSK_AT_verzia_4_0!N69-PSK_AT_verzia_3_5!N69</f>
        <v>0</v>
      </c>
      <c r="O69" s="67">
        <f>PSK_AT_verzia_4_0!O69-PSK_AT_verzia_3_5!O69</f>
        <v>0</v>
      </c>
      <c r="P69" s="67">
        <f>PSK_AT_verzia_4_0!P69-PSK_AT_verzia_3_5!P69</f>
        <v>0</v>
      </c>
      <c r="Q69" s="67">
        <f>PSK_AT_verzia_4_0!Q69-PSK_AT_verzia_3_5!Q69</f>
        <v>0</v>
      </c>
    </row>
    <row r="70" spans="1:17" ht="28.5" x14ac:dyDescent="0.35">
      <c r="A70" s="214"/>
      <c r="B70" s="215"/>
      <c r="C70" s="99">
        <f>PSK_AT_verzia_4_0!C70-PSK_AT_verzia_3_5!C70</f>
        <v>5302568</v>
      </c>
      <c r="D70" s="60">
        <f>PSK_AT_verzia_4_0!D70-PSK_AT_verzia_3_5!D70</f>
        <v>0</v>
      </c>
      <c r="E70" s="60">
        <f>PSK_AT_verzia_4_0!E70-PSK_AT_verzia_3_5!E70</f>
        <v>0</v>
      </c>
      <c r="F70" s="61" t="s">
        <v>36</v>
      </c>
      <c r="G70" s="60">
        <f>PSK_AT_verzia_4_0!G70-PSK_AT_verzia_3_5!G70</f>
        <v>5302568</v>
      </c>
      <c r="H70" s="60">
        <f>PSK_AT_verzia_4_0!H70-PSK_AT_verzia_3_5!H70</f>
        <v>5302568</v>
      </c>
      <c r="I70" s="60">
        <f>PSK_AT_verzia_4_0!I70-PSK_AT_verzia_3_5!I70</f>
        <v>0</v>
      </c>
      <c r="J70" s="60">
        <f>PSK_AT_verzia_4_0!J70-PSK_AT_verzia_3_5!J70</f>
        <v>5302568</v>
      </c>
      <c r="K70" s="60">
        <f>PSK_AT_verzia_4_0!K70-PSK_AT_verzia_3_5!K70</f>
        <v>5302568</v>
      </c>
      <c r="L70" s="60">
        <f>PSK_AT_verzia_4_0!L70-PSK_AT_verzia_3_5!L70</f>
        <v>0</v>
      </c>
      <c r="M70" s="60">
        <f>PSK_AT_verzia_4_0!M70-PSK_AT_verzia_3_5!M70</f>
        <v>0</v>
      </c>
      <c r="N70" s="60">
        <f>PSK_AT_verzia_4_0!N70-PSK_AT_verzia_3_5!N70</f>
        <v>0</v>
      </c>
      <c r="O70" s="60">
        <f>PSK_AT_verzia_4_0!O70-PSK_AT_verzia_3_5!O70</f>
        <v>0</v>
      </c>
      <c r="P70" s="60">
        <f>PSK_AT_verzia_4_0!P70-PSK_AT_verzia_3_5!P70</f>
        <v>0</v>
      </c>
      <c r="Q70" s="60">
        <f>PSK_AT_verzia_4_0!Q70-PSK_AT_verzia_3_5!Q70</f>
        <v>0</v>
      </c>
    </row>
    <row r="71" spans="1:17" ht="28.5" x14ac:dyDescent="0.35">
      <c r="A71" s="214"/>
      <c r="B71" s="215"/>
      <c r="C71" s="200">
        <f>PSK_AT_verzia_4_0!C71-PSK_AT_verzia_3_5!C71</f>
        <v>0</v>
      </c>
      <c r="D71" s="200">
        <f>PSK_AT_verzia_4_0!D71-PSK_AT_verzia_3_5!D71</f>
        <v>0</v>
      </c>
      <c r="E71" s="200">
        <f>PSK_AT_verzia_4_0!E71-PSK_AT_verzia_3_5!E71</f>
        <v>0</v>
      </c>
      <c r="F71" s="66" t="s">
        <v>37</v>
      </c>
      <c r="G71" s="67">
        <f>PSK_AT_verzia_4_0!G71-PSK_AT_verzia_3_5!G71</f>
        <v>0</v>
      </c>
      <c r="H71" s="67">
        <f>PSK_AT_verzia_4_0!H71-PSK_AT_verzia_3_5!H71</f>
        <v>0</v>
      </c>
      <c r="I71" s="67">
        <f>PSK_AT_verzia_4_0!I71-PSK_AT_verzia_3_5!I71</f>
        <v>0</v>
      </c>
      <c r="J71" s="67">
        <f>PSK_AT_verzia_4_0!J71-PSK_AT_verzia_3_5!J71</f>
        <v>0</v>
      </c>
      <c r="K71" s="67">
        <f>PSK_AT_verzia_4_0!K71-PSK_AT_verzia_3_5!K71</f>
        <v>0</v>
      </c>
      <c r="L71" s="67">
        <f>PSK_AT_verzia_4_0!L71-PSK_AT_verzia_3_5!L71</f>
        <v>0</v>
      </c>
      <c r="M71" s="67">
        <f>PSK_AT_verzia_4_0!M71-PSK_AT_verzia_3_5!M71</f>
        <v>0</v>
      </c>
      <c r="N71" s="67">
        <f>PSK_AT_verzia_4_0!N71-PSK_AT_verzia_3_5!N71</f>
        <v>0</v>
      </c>
      <c r="O71" s="67">
        <f>PSK_AT_verzia_4_0!O71-PSK_AT_verzia_3_5!O71</f>
        <v>0</v>
      </c>
      <c r="P71" s="67">
        <f>PSK_AT_verzia_4_0!P71-PSK_AT_verzia_3_5!P71</f>
        <v>0</v>
      </c>
      <c r="Q71" s="67">
        <f>PSK_AT_verzia_4_0!Q71-PSK_AT_verzia_3_5!Q71</f>
        <v>0</v>
      </c>
    </row>
    <row r="72" spans="1:17" ht="28.5" x14ac:dyDescent="0.35">
      <c r="A72" s="214"/>
      <c r="B72" s="215"/>
      <c r="C72" s="200">
        <f>PSK_AT_verzia_4_0!C72-PSK_AT_verzia_3_5!C72</f>
        <v>0</v>
      </c>
      <c r="D72" s="200">
        <f>PSK_AT_verzia_4_0!D72-PSK_AT_verzia_3_5!D72</f>
        <v>0</v>
      </c>
      <c r="E72" s="200">
        <f>PSK_AT_verzia_4_0!E72-PSK_AT_verzia_3_5!E72</f>
        <v>0</v>
      </c>
      <c r="F72" s="66" t="s">
        <v>38</v>
      </c>
      <c r="G72" s="71">
        <f>PSK_AT_verzia_4_0!G72-PSK_AT_verzia_3_5!G72</f>
        <v>5302568</v>
      </c>
      <c r="H72" s="71">
        <f>PSK_AT_verzia_4_0!H72-PSK_AT_verzia_3_5!H72</f>
        <v>5302568</v>
      </c>
      <c r="I72" s="71">
        <f>PSK_AT_verzia_4_0!I72-PSK_AT_verzia_3_5!I72</f>
        <v>0</v>
      </c>
      <c r="J72" s="71">
        <f>PSK_AT_verzia_4_0!J72-PSK_AT_verzia_3_5!J72</f>
        <v>5302568</v>
      </c>
      <c r="K72" s="71">
        <f>PSK_AT_verzia_4_0!K72-PSK_AT_verzia_3_5!K72</f>
        <v>5302568</v>
      </c>
      <c r="L72" s="71">
        <f>PSK_AT_verzia_4_0!L72-PSK_AT_verzia_3_5!L72</f>
        <v>0</v>
      </c>
      <c r="M72" s="71">
        <f>PSK_AT_verzia_4_0!M72-PSK_AT_verzia_3_5!M72</f>
        <v>0</v>
      </c>
      <c r="N72" s="71">
        <f>PSK_AT_verzia_4_0!N72-PSK_AT_verzia_3_5!N72</f>
        <v>0</v>
      </c>
      <c r="O72" s="71">
        <f>PSK_AT_verzia_4_0!O72-PSK_AT_verzia_3_5!O72</f>
        <v>0</v>
      </c>
      <c r="P72" s="71">
        <f>PSK_AT_verzia_4_0!P72-PSK_AT_verzia_3_5!P72</f>
        <v>0</v>
      </c>
      <c r="Q72" s="71">
        <f>PSK_AT_verzia_4_0!Q72-PSK_AT_verzia_3_5!Q72</f>
        <v>0</v>
      </c>
    </row>
    <row r="73" spans="1:17" ht="28.5" x14ac:dyDescent="0.35">
      <c r="A73" s="214"/>
      <c r="B73" s="215"/>
      <c r="C73" s="200">
        <f>PSK_AT_verzia_4_0!C73-PSK_AT_verzia_3_5!C73</f>
        <v>0</v>
      </c>
      <c r="D73" s="200">
        <f>PSK_AT_verzia_4_0!D73-PSK_AT_verzia_3_5!D73</f>
        <v>0</v>
      </c>
      <c r="E73" s="200">
        <f>PSK_AT_verzia_4_0!E73-PSK_AT_verzia_3_5!E73</f>
        <v>0</v>
      </c>
      <c r="F73" s="66" t="s">
        <v>39</v>
      </c>
      <c r="G73" s="71">
        <f>PSK_AT_verzia_4_0!G73-PSK_AT_verzia_3_5!G73</f>
        <v>0</v>
      </c>
      <c r="H73" s="71">
        <f>PSK_AT_verzia_4_0!H73-PSK_AT_verzia_3_5!H73</f>
        <v>0</v>
      </c>
      <c r="I73" s="71">
        <f>PSK_AT_verzia_4_0!I73-PSK_AT_verzia_3_5!I73</f>
        <v>0</v>
      </c>
      <c r="J73" s="71">
        <f>PSK_AT_verzia_4_0!J73-PSK_AT_verzia_3_5!J73</f>
        <v>0</v>
      </c>
      <c r="K73" s="71">
        <f>PSK_AT_verzia_4_0!K73-PSK_AT_verzia_3_5!K73</f>
        <v>0</v>
      </c>
      <c r="L73" s="71">
        <f>PSK_AT_verzia_4_0!L73-PSK_AT_verzia_3_5!L73</f>
        <v>0</v>
      </c>
      <c r="M73" s="71">
        <f>PSK_AT_verzia_4_0!M73-PSK_AT_verzia_3_5!M73</f>
        <v>0</v>
      </c>
      <c r="N73" s="71">
        <f>PSK_AT_verzia_4_0!N73-PSK_AT_verzia_3_5!N73</f>
        <v>0</v>
      </c>
      <c r="O73" s="71">
        <f>PSK_AT_verzia_4_0!O73-PSK_AT_verzia_3_5!O73</f>
        <v>0</v>
      </c>
      <c r="P73" s="71">
        <f>PSK_AT_verzia_4_0!P73-PSK_AT_verzia_3_5!P73</f>
        <v>0</v>
      </c>
      <c r="Q73" s="71">
        <f>PSK_AT_verzia_4_0!Q73-PSK_AT_verzia_3_5!Q73</f>
        <v>0</v>
      </c>
    </row>
    <row r="74" spans="1:17" ht="28" customHeight="1" x14ac:dyDescent="0.35">
      <c r="A74" s="214" t="s">
        <v>81</v>
      </c>
      <c r="B74" s="215" t="s">
        <v>82</v>
      </c>
      <c r="C74" s="57">
        <f>PSK_AT_verzia_4_0!C74-PSK_AT_verzia_3_5!C74</f>
        <v>0</v>
      </c>
      <c r="D74" s="57">
        <f>PSK_AT_verzia_4_0!D74-PSK_AT_verzia_3_5!D74</f>
        <v>0</v>
      </c>
      <c r="E74" s="57">
        <f>PSK_AT_verzia_4_0!E74-PSK_AT_verzia_3_5!E74</f>
        <v>0</v>
      </c>
      <c r="F74" s="59" t="s">
        <v>83</v>
      </c>
      <c r="G74" s="58">
        <f>PSK_AT_verzia_4_0!G74-PSK_AT_verzia_3_5!G74</f>
        <v>-8414906</v>
      </c>
      <c r="H74" s="58">
        <f>PSK_AT_verzia_4_0!H74-PSK_AT_verzia_3_5!H74</f>
        <v>-7342463</v>
      </c>
      <c r="I74" s="58">
        <f>PSK_AT_verzia_4_0!I74-PSK_AT_verzia_3_5!I74</f>
        <v>-1072443</v>
      </c>
      <c r="J74" s="58">
        <f>PSK_AT_verzia_4_0!J74-PSK_AT_verzia_3_5!J74</f>
        <v>-8414906</v>
      </c>
      <c r="K74" s="58">
        <f>PSK_AT_verzia_4_0!K74-PSK_AT_verzia_3_5!K74</f>
        <v>-7342463</v>
      </c>
      <c r="L74" s="58">
        <f>PSK_AT_verzia_4_0!L74-PSK_AT_verzia_3_5!L74</f>
        <v>-1072443</v>
      </c>
      <c r="M74" s="58">
        <f>PSK_AT_verzia_4_0!M74-PSK_AT_verzia_3_5!M74</f>
        <v>0</v>
      </c>
      <c r="N74" s="58">
        <f>PSK_AT_verzia_4_0!N74-PSK_AT_verzia_3_5!N74</f>
        <v>0</v>
      </c>
      <c r="O74" s="58">
        <f>PSK_AT_verzia_4_0!O74-PSK_AT_verzia_3_5!O74</f>
        <v>0</v>
      </c>
      <c r="P74" s="58">
        <f>PSK_AT_verzia_4_0!P74-PSK_AT_verzia_3_5!P74</f>
        <v>0</v>
      </c>
      <c r="Q74" s="58">
        <f>PSK_AT_verzia_4_0!Q74-PSK_AT_verzia_3_5!Q74</f>
        <v>0</v>
      </c>
    </row>
    <row r="75" spans="1:17" ht="28" customHeight="1" x14ac:dyDescent="0.35">
      <c r="A75" s="214"/>
      <c r="B75" s="215"/>
      <c r="C75" s="60">
        <f>PSK_AT_verzia_4_0!C75-PSK_AT_verzia_3_5!C75</f>
        <v>0</v>
      </c>
      <c r="D75" s="60">
        <f>PSK_AT_verzia_4_0!D75-PSK_AT_verzia_3_5!D75</f>
        <v>0</v>
      </c>
      <c r="E75" s="60">
        <f>PSK_AT_verzia_4_0!E75-PSK_AT_verzia_3_5!E75</f>
        <v>0</v>
      </c>
      <c r="F75" s="61" t="s">
        <v>36</v>
      </c>
      <c r="G75" s="60">
        <f>PSK_AT_verzia_4_0!G75-PSK_AT_verzia_3_5!G75</f>
        <v>-8414906</v>
      </c>
      <c r="H75" s="60">
        <f>PSK_AT_verzia_4_0!H75-PSK_AT_verzia_3_5!H75</f>
        <v>-7342463</v>
      </c>
      <c r="I75" s="60">
        <f>PSK_AT_verzia_4_0!I75-PSK_AT_verzia_3_5!I75</f>
        <v>-1072443</v>
      </c>
      <c r="J75" s="60">
        <f>PSK_AT_verzia_4_0!J75-PSK_AT_verzia_3_5!J75</f>
        <v>-8414906</v>
      </c>
      <c r="K75" s="60">
        <f>PSK_AT_verzia_4_0!K75-PSK_AT_verzia_3_5!K75</f>
        <v>-7342463</v>
      </c>
      <c r="L75" s="60">
        <f>PSK_AT_verzia_4_0!L75-PSK_AT_verzia_3_5!L75</f>
        <v>-1072443</v>
      </c>
      <c r="M75" s="60">
        <f>PSK_AT_verzia_4_0!M75-PSK_AT_verzia_3_5!M75</f>
        <v>0</v>
      </c>
      <c r="N75" s="60">
        <f>PSK_AT_verzia_4_0!N75-PSK_AT_verzia_3_5!N75</f>
        <v>0</v>
      </c>
      <c r="O75" s="60">
        <f>PSK_AT_verzia_4_0!O75-PSK_AT_verzia_3_5!O75</f>
        <v>0</v>
      </c>
      <c r="P75" s="60">
        <f>PSK_AT_verzia_4_0!P75-PSK_AT_verzia_3_5!P75</f>
        <v>0</v>
      </c>
      <c r="Q75" s="60">
        <f>PSK_AT_verzia_4_0!Q75-PSK_AT_verzia_3_5!Q75</f>
        <v>0</v>
      </c>
    </row>
    <row r="76" spans="1:17" ht="28" customHeight="1" x14ac:dyDescent="0.35">
      <c r="A76" s="214"/>
      <c r="B76" s="215"/>
      <c r="C76" s="200">
        <f>PSK_AT_verzia_4_0!C76-PSK_AT_verzia_3_5!C76</f>
        <v>0</v>
      </c>
      <c r="D76" s="200">
        <f>PSK_AT_verzia_4_0!D76-PSK_AT_verzia_3_5!D76</f>
        <v>0</v>
      </c>
      <c r="E76" s="200">
        <f>PSK_AT_verzia_4_0!E76-PSK_AT_verzia_3_5!E76</f>
        <v>0</v>
      </c>
      <c r="F76" s="66" t="s">
        <v>37</v>
      </c>
      <c r="G76" s="67">
        <f>PSK_AT_verzia_4_0!G76-PSK_AT_verzia_3_5!G76</f>
        <v>-8414906</v>
      </c>
      <c r="H76" s="67">
        <f>PSK_AT_verzia_4_0!H76-PSK_AT_verzia_3_5!H76</f>
        <v>-7342463</v>
      </c>
      <c r="I76" s="67">
        <f>PSK_AT_verzia_4_0!I76-PSK_AT_verzia_3_5!I76</f>
        <v>-1072443</v>
      </c>
      <c r="J76" s="67">
        <f>PSK_AT_verzia_4_0!J76-PSK_AT_verzia_3_5!J76</f>
        <v>-8414906</v>
      </c>
      <c r="K76" s="67">
        <f>PSK_AT_verzia_4_0!K76-PSK_AT_verzia_3_5!K76</f>
        <v>-7342463</v>
      </c>
      <c r="L76" s="67">
        <f>PSK_AT_verzia_4_0!L76-PSK_AT_verzia_3_5!L76</f>
        <v>-1072443</v>
      </c>
      <c r="M76" s="67">
        <f>PSK_AT_verzia_4_0!M76-PSK_AT_verzia_3_5!M76</f>
        <v>0</v>
      </c>
      <c r="N76" s="67">
        <f>PSK_AT_verzia_4_0!N76-PSK_AT_verzia_3_5!N76</f>
        <v>0</v>
      </c>
      <c r="O76" s="67">
        <f>PSK_AT_verzia_4_0!O76-PSK_AT_verzia_3_5!O76</f>
        <v>0</v>
      </c>
      <c r="P76" s="67">
        <f>PSK_AT_verzia_4_0!P76-PSK_AT_verzia_3_5!P76</f>
        <v>0</v>
      </c>
      <c r="Q76" s="67">
        <f>PSK_AT_verzia_4_0!Q76-PSK_AT_verzia_3_5!Q76</f>
        <v>0</v>
      </c>
    </row>
    <row r="77" spans="1:17" s="62" customFormat="1" ht="28" customHeight="1" x14ac:dyDescent="0.35">
      <c r="A77" s="45" t="s">
        <v>84</v>
      </c>
      <c r="B77" s="46" t="s">
        <v>85</v>
      </c>
      <c r="C77" s="47">
        <f>PSK_AT_verzia_4_0!C77-PSK_AT_verzia_3_5!C77</f>
        <v>0</v>
      </c>
      <c r="D77" s="47">
        <f>PSK_AT_verzia_4_0!D77-PSK_AT_verzia_3_5!D77</f>
        <v>0</v>
      </c>
      <c r="E77" s="47">
        <f>PSK_AT_verzia_4_0!E77-PSK_AT_verzia_3_5!E77</f>
        <v>0</v>
      </c>
      <c r="F77" s="48"/>
      <c r="G77" s="48">
        <f>PSK_AT_verzia_4_0!G77-PSK_AT_verzia_3_5!G77</f>
        <v>-88390593</v>
      </c>
      <c r="H77" s="48">
        <f>PSK_AT_verzia_4_0!H77-PSK_AT_verzia_3_5!H77</f>
        <v>-84981760</v>
      </c>
      <c r="I77" s="48">
        <f>PSK_AT_verzia_4_0!I77-PSK_AT_verzia_3_5!I77</f>
        <v>-3408833</v>
      </c>
      <c r="J77" s="48">
        <f>PSK_AT_verzia_4_0!J77-PSK_AT_verzia_3_5!J77</f>
        <v>-88390593</v>
      </c>
      <c r="K77" s="48">
        <f>PSK_AT_verzia_4_0!K77-PSK_AT_verzia_3_5!K77</f>
        <v>-84981760</v>
      </c>
      <c r="L77" s="48">
        <f>PSK_AT_verzia_4_0!L77-PSK_AT_verzia_3_5!L77</f>
        <v>-3408833</v>
      </c>
      <c r="M77" s="48">
        <f>PSK_AT_verzia_4_0!M77-PSK_AT_verzia_3_5!M77</f>
        <v>0</v>
      </c>
      <c r="N77" s="48">
        <f>PSK_AT_verzia_4_0!N77-PSK_AT_verzia_3_5!N77</f>
        <v>0</v>
      </c>
      <c r="O77" s="48">
        <f>PSK_AT_verzia_4_0!O77-PSK_AT_verzia_3_5!O77</f>
        <v>0</v>
      </c>
      <c r="P77" s="48">
        <f>PSK_AT_verzia_4_0!P77-PSK_AT_verzia_3_5!P77</f>
        <v>0</v>
      </c>
      <c r="Q77" s="48">
        <f>PSK_AT_verzia_4_0!Q77-PSK_AT_verzia_3_5!Q77</f>
        <v>0</v>
      </c>
    </row>
    <row r="78" spans="1:17" s="62" customFormat="1" ht="28.5" x14ac:dyDescent="0.35">
      <c r="A78" s="50" t="s">
        <v>86</v>
      </c>
      <c r="B78" s="51" t="s">
        <v>87</v>
      </c>
      <c r="C78" s="52">
        <f>PSK_AT_verzia_4_0!C78-PSK_AT_verzia_3_5!C78</f>
        <v>0</v>
      </c>
      <c r="D78" s="52">
        <f>PSK_AT_verzia_4_0!D78-PSK_AT_verzia_3_5!D78</f>
        <v>0</v>
      </c>
      <c r="E78" s="52">
        <f>PSK_AT_verzia_4_0!E78-PSK_AT_verzia_3_5!E78</f>
        <v>0</v>
      </c>
      <c r="F78" s="54" t="s">
        <v>88</v>
      </c>
      <c r="G78" s="52">
        <f>PSK_AT_verzia_4_0!G78-PSK_AT_verzia_3_5!G78</f>
        <v>-88390593</v>
      </c>
      <c r="H78" s="52">
        <f>PSK_AT_verzia_4_0!H78-PSK_AT_verzia_3_5!H78</f>
        <v>-84981760</v>
      </c>
      <c r="I78" s="52">
        <f>PSK_AT_verzia_4_0!I78-PSK_AT_verzia_3_5!I78</f>
        <v>-3408833</v>
      </c>
      <c r="J78" s="52">
        <f>PSK_AT_verzia_4_0!J78-PSK_AT_verzia_3_5!J78</f>
        <v>-88390593</v>
      </c>
      <c r="K78" s="52">
        <f>PSK_AT_verzia_4_0!K78-PSK_AT_verzia_3_5!K78</f>
        <v>-84981760</v>
      </c>
      <c r="L78" s="52">
        <f>PSK_AT_verzia_4_0!L78-PSK_AT_verzia_3_5!L78</f>
        <v>-3408833</v>
      </c>
      <c r="M78" s="52">
        <f>PSK_AT_verzia_4_0!M78-PSK_AT_verzia_3_5!M78</f>
        <v>0</v>
      </c>
      <c r="N78" s="52">
        <f>PSK_AT_verzia_4_0!N78-PSK_AT_verzia_3_5!N78</f>
        <v>0</v>
      </c>
      <c r="O78" s="52">
        <f>PSK_AT_verzia_4_0!O78-PSK_AT_verzia_3_5!O78</f>
        <v>0</v>
      </c>
      <c r="P78" s="52">
        <f>PSK_AT_verzia_4_0!P78-PSK_AT_verzia_3_5!P78</f>
        <v>0</v>
      </c>
      <c r="Q78" s="52">
        <f>PSK_AT_verzia_4_0!Q78-PSK_AT_verzia_3_5!Q78</f>
        <v>0</v>
      </c>
    </row>
    <row r="79" spans="1:17" s="62" customFormat="1" ht="28" customHeight="1" x14ac:dyDescent="0.35">
      <c r="A79" s="214" t="s">
        <v>89</v>
      </c>
      <c r="B79" s="215" t="s">
        <v>90</v>
      </c>
      <c r="C79" s="57">
        <f>PSK_AT_verzia_4_0!C79-PSK_AT_verzia_3_5!C79</f>
        <v>0</v>
      </c>
      <c r="D79" s="57">
        <f>PSK_AT_verzia_4_0!D79-PSK_AT_verzia_3_5!D79</f>
        <v>0</v>
      </c>
      <c r="E79" s="57">
        <f>PSK_AT_verzia_4_0!E79-PSK_AT_verzia_3_5!E79</f>
        <v>0</v>
      </c>
      <c r="F79" s="59" t="s">
        <v>91</v>
      </c>
      <c r="G79" s="58">
        <f>PSK_AT_verzia_4_0!G79-PSK_AT_verzia_3_5!G79</f>
        <v>-88390593</v>
      </c>
      <c r="H79" s="58">
        <f>PSK_AT_verzia_4_0!H79-PSK_AT_verzia_3_5!H79</f>
        <v>-84981760</v>
      </c>
      <c r="I79" s="58">
        <f>PSK_AT_verzia_4_0!I79-PSK_AT_verzia_3_5!I79</f>
        <v>-3408833</v>
      </c>
      <c r="J79" s="58">
        <f>PSK_AT_verzia_4_0!J79-PSK_AT_verzia_3_5!J79</f>
        <v>-88390593</v>
      </c>
      <c r="K79" s="58">
        <f>PSK_AT_verzia_4_0!K79-PSK_AT_verzia_3_5!K79</f>
        <v>-84981760</v>
      </c>
      <c r="L79" s="58">
        <f>PSK_AT_verzia_4_0!L79-PSK_AT_verzia_3_5!L79</f>
        <v>-3408833</v>
      </c>
      <c r="M79" s="58">
        <f>PSK_AT_verzia_4_0!M79-PSK_AT_verzia_3_5!M79</f>
        <v>0</v>
      </c>
      <c r="N79" s="58">
        <f>PSK_AT_verzia_4_0!N79-PSK_AT_verzia_3_5!N79</f>
        <v>0</v>
      </c>
      <c r="O79" s="58">
        <f>PSK_AT_verzia_4_0!O79-PSK_AT_verzia_3_5!O79</f>
        <v>0</v>
      </c>
      <c r="P79" s="58">
        <f>PSK_AT_verzia_4_0!P79-PSK_AT_verzia_3_5!P79</f>
        <v>0</v>
      </c>
      <c r="Q79" s="58">
        <f>PSK_AT_verzia_4_0!Q79-PSK_AT_verzia_3_5!Q79</f>
        <v>0</v>
      </c>
    </row>
    <row r="80" spans="1:17" ht="28" customHeight="1" x14ac:dyDescent="0.35">
      <c r="A80" s="214"/>
      <c r="B80" s="215"/>
      <c r="C80" s="60">
        <f>PSK_AT_verzia_4_0!C80-PSK_AT_verzia_3_5!C80</f>
        <v>0</v>
      </c>
      <c r="D80" s="60">
        <f>PSK_AT_verzia_4_0!D80-PSK_AT_verzia_3_5!D80</f>
        <v>0</v>
      </c>
      <c r="E80" s="60">
        <f>PSK_AT_verzia_4_0!E80-PSK_AT_verzia_3_5!E80</f>
        <v>0</v>
      </c>
      <c r="F80" s="61" t="s">
        <v>36</v>
      </c>
      <c r="G80" s="60">
        <f>PSK_AT_verzia_4_0!G80-PSK_AT_verzia_3_5!G80</f>
        <v>-88390593</v>
      </c>
      <c r="H80" s="60">
        <f>PSK_AT_verzia_4_0!H80-PSK_AT_verzia_3_5!H80</f>
        <v>-84981760</v>
      </c>
      <c r="I80" s="60">
        <f>PSK_AT_verzia_4_0!I80-PSK_AT_verzia_3_5!I80</f>
        <v>-3408833</v>
      </c>
      <c r="J80" s="60">
        <f>PSK_AT_verzia_4_0!J80-PSK_AT_verzia_3_5!J80</f>
        <v>-88390593</v>
      </c>
      <c r="K80" s="60">
        <f>PSK_AT_verzia_4_0!K80-PSK_AT_verzia_3_5!K80</f>
        <v>-84981760</v>
      </c>
      <c r="L80" s="60">
        <f>PSK_AT_verzia_4_0!L80-PSK_AT_verzia_3_5!L80</f>
        <v>-3408833</v>
      </c>
      <c r="M80" s="60">
        <f>PSK_AT_verzia_4_0!M80-PSK_AT_verzia_3_5!M80</f>
        <v>0</v>
      </c>
      <c r="N80" s="60">
        <f>PSK_AT_verzia_4_0!N80-PSK_AT_verzia_3_5!N80</f>
        <v>0</v>
      </c>
      <c r="O80" s="60">
        <f>PSK_AT_verzia_4_0!O80-PSK_AT_verzia_3_5!O80</f>
        <v>0</v>
      </c>
      <c r="P80" s="60">
        <f>PSK_AT_verzia_4_0!P80-PSK_AT_verzia_3_5!P80</f>
        <v>0</v>
      </c>
      <c r="Q80" s="60">
        <f>PSK_AT_verzia_4_0!Q80-PSK_AT_verzia_3_5!Q80</f>
        <v>0</v>
      </c>
    </row>
    <row r="81" spans="1:17" ht="28" customHeight="1" x14ac:dyDescent="0.35">
      <c r="A81" s="214"/>
      <c r="B81" s="215"/>
      <c r="C81" s="200">
        <f>PSK_AT_verzia_4_0!C81-PSK_AT_verzia_3_5!C81</f>
        <v>0</v>
      </c>
      <c r="D81" s="200">
        <f>PSK_AT_verzia_4_0!D81-PSK_AT_verzia_3_5!D81</f>
        <v>0</v>
      </c>
      <c r="E81" s="200">
        <f>PSK_AT_verzia_4_0!E81-PSK_AT_verzia_3_5!E81</f>
        <v>0</v>
      </c>
      <c r="F81" s="66" t="s">
        <v>37</v>
      </c>
      <c r="G81" s="67">
        <f>PSK_AT_verzia_4_0!G81-PSK_AT_verzia_3_5!G81</f>
        <v>-88390593</v>
      </c>
      <c r="H81" s="67">
        <f>PSK_AT_verzia_4_0!H81-PSK_AT_verzia_3_5!H81</f>
        <v>-84981760</v>
      </c>
      <c r="I81" s="67">
        <f>PSK_AT_verzia_4_0!I81-PSK_AT_verzia_3_5!I81</f>
        <v>-3408833</v>
      </c>
      <c r="J81" s="67">
        <f>PSK_AT_verzia_4_0!J81-PSK_AT_verzia_3_5!J81</f>
        <v>-88390593</v>
      </c>
      <c r="K81" s="67">
        <f>PSK_AT_verzia_4_0!K81-PSK_AT_verzia_3_5!K81</f>
        <v>-84981760</v>
      </c>
      <c r="L81" s="67">
        <f>PSK_AT_verzia_4_0!L81-PSK_AT_verzia_3_5!L81</f>
        <v>-3408833</v>
      </c>
      <c r="M81" s="67">
        <f>PSK_AT_verzia_4_0!M81-PSK_AT_verzia_3_5!M81</f>
        <v>0</v>
      </c>
      <c r="N81" s="67">
        <f>PSK_AT_verzia_4_0!N81-PSK_AT_verzia_3_5!N81</f>
        <v>0</v>
      </c>
      <c r="O81" s="67">
        <f>PSK_AT_verzia_4_0!O81-PSK_AT_verzia_3_5!O81</f>
        <v>0</v>
      </c>
      <c r="P81" s="67">
        <f>PSK_AT_verzia_4_0!P81-PSK_AT_verzia_3_5!P81</f>
        <v>0</v>
      </c>
      <c r="Q81" s="67">
        <f>PSK_AT_verzia_4_0!Q81-PSK_AT_verzia_3_5!Q81</f>
        <v>0</v>
      </c>
    </row>
    <row r="82" spans="1:17" ht="28" customHeight="1" x14ac:dyDescent="0.35">
      <c r="A82" s="45" t="s">
        <v>92</v>
      </c>
      <c r="B82" s="46" t="s">
        <v>93</v>
      </c>
      <c r="C82" s="47">
        <f>PSK_AT_verzia_4_0!C82-PSK_AT_verzia_3_5!C82</f>
        <v>0</v>
      </c>
      <c r="D82" s="47">
        <f>PSK_AT_verzia_4_0!D82-PSK_AT_verzia_3_5!D82</f>
        <v>0</v>
      </c>
      <c r="E82" s="47">
        <f>PSK_AT_verzia_4_0!E82-PSK_AT_verzia_3_5!E82</f>
        <v>0</v>
      </c>
      <c r="F82" s="49"/>
      <c r="G82" s="48">
        <f>PSK_AT_verzia_4_0!G82-PSK_AT_verzia_3_5!G82</f>
        <v>0</v>
      </c>
      <c r="H82" s="48">
        <f>PSK_AT_verzia_4_0!H82-PSK_AT_verzia_3_5!H82</f>
        <v>0</v>
      </c>
      <c r="I82" s="48">
        <f>PSK_AT_verzia_4_0!I82-PSK_AT_verzia_3_5!I82</f>
        <v>0</v>
      </c>
      <c r="J82" s="48">
        <f>PSK_AT_verzia_4_0!J82-PSK_AT_verzia_3_5!J82</f>
        <v>0</v>
      </c>
      <c r="K82" s="48">
        <f>PSK_AT_verzia_4_0!K82-PSK_AT_verzia_3_5!K82</f>
        <v>0</v>
      </c>
      <c r="L82" s="48">
        <f>PSK_AT_verzia_4_0!L82-PSK_AT_verzia_3_5!L82</f>
        <v>0</v>
      </c>
      <c r="M82" s="48">
        <f>PSK_AT_verzia_4_0!M82-PSK_AT_verzia_3_5!M82</f>
        <v>0</v>
      </c>
      <c r="N82" s="48">
        <f>PSK_AT_verzia_4_0!N82-PSK_AT_verzia_3_5!N82</f>
        <v>0</v>
      </c>
      <c r="O82" s="48">
        <f>PSK_AT_verzia_4_0!O82-PSK_AT_verzia_3_5!O82</f>
        <v>0</v>
      </c>
      <c r="P82" s="48">
        <f>PSK_AT_verzia_4_0!P82-PSK_AT_verzia_3_5!P82</f>
        <v>0</v>
      </c>
      <c r="Q82" s="48">
        <f>PSK_AT_verzia_4_0!Q82-PSK_AT_verzia_3_5!Q82</f>
        <v>0</v>
      </c>
    </row>
    <row r="83" spans="1:17" ht="28.5" x14ac:dyDescent="0.35">
      <c r="A83" s="228" t="s">
        <v>94</v>
      </c>
      <c r="B83" s="231" t="s">
        <v>807</v>
      </c>
      <c r="C83" s="52">
        <f>PSK_AT_verzia_4_0!C83-PSK_AT_verzia_3_5!C83</f>
        <v>0</v>
      </c>
      <c r="D83" s="52">
        <f>PSK_AT_verzia_4_0!D83-PSK_AT_verzia_3_5!D83</f>
        <v>0</v>
      </c>
      <c r="E83" s="52">
        <f>PSK_AT_verzia_4_0!E83-PSK_AT_verzia_3_5!E83</f>
        <v>0</v>
      </c>
      <c r="F83" s="54" t="s">
        <v>96</v>
      </c>
      <c r="G83" s="52">
        <f>PSK_AT_verzia_4_0!G83-PSK_AT_verzia_3_5!G83</f>
        <v>0</v>
      </c>
      <c r="H83" s="52">
        <f>PSK_AT_verzia_4_0!H83-PSK_AT_verzia_3_5!H83</f>
        <v>0</v>
      </c>
      <c r="I83" s="52">
        <f>PSK_AT_verzia_4_0!I83-PSK_AT_verzia_3_5!I83</f>
        <v>0</v>
      </c>
      <c r="J83" s="52">
        <f>PSK_AT_verzia_4_0!J83-PSK_AT_verzia_3_5!J83</f>
        <v>0</v>
      </c>
      <c r="K83" s="52">
        <f>PSK_AT_verzia_4_0!K83-PSK_AT_verzia_3_5!K83</f>
        <v>0</v>
      </c>
      <c r="L83" s="52">
        <f>PSK_AT_verzia_4_0!L83-PSK_AT_verzia_3_5!L83</f>
        <v>0</v>
      </c>
      <c r="M83" s="52">
        <f>PSK_AT_verzia_4_0!M83-PSK_AT_verzia_3_5!M83</f>
        <v>0</v>
      </c>
      <c r="N83" s="52">
        <f>PSK_AT_verzia_4_0!N83-PSK_AT_verzia_3_5!N83</f>
        <v>0</v>
      </c>
      <c r="O83" s="52">
        <f>PSK_AT_verzia_4_0!O83-PSK_AT_verzia_3_5!O83</f>
        <v>0</v>
      </c>
      <c r="P83" s="52">
        <f>PSK_AT_verzia_4_0!P83-PSK_AT_verzia_3_5!P83</f>
        <v>0</v>
      </c>
      <c r="Q83" s="52">
        <f>PSK_AT_verzia_4_0!Q83-PSK_AT_verzia_3_5!Q83</f>
        <v>0</v>
      </c>
    </row>
    <row r="84" spans="1:17" ht="28.5" x14ac:dyDescent="0.35">
      <c r="A84" s="229"/>
      <c r="B84" s="232"/>
      <c r="C84" s="60">
        <f>PSK_AT_verzia_4_0!C84-PSK_AT_verzia_3_5!C84</f>
        <v>0</v>
      </c>
      <c r="D84" s="60">
        <f>PSK_AT_verzia_4_0!D84-PSK_AT_verzia_3_5!D84</f>
        <v>0</v>
      </c>
      <c r="E84" s="60">
        <f>PSK_AT_verzia_4_0!E84-PSK_AT_verzia_3_5!E84</f>
        <v>0</v>
      </c>
      <c r="F84" s="85" t="s">
        <v>40</v>
      </c>
      <c r="G84" s="60">
        <f>PSK_AT_verzia_4_0!G84-PSK_AT_verzia_3_5!G84</f>
        <v>0</v>
      </c>
      <c r="H84" s="60">
        <f>PSK_AT_verzia_4_0!H84-PSK_AT_verzia_3_5!H84</f>
        <v>0</v>
      </c>
      <c r="I84" s="60">
        <f>PSK_AT_verzia_4_0!I84-PSK_AT_verzia_3_5!I84</f>
        <v>0</v>
      </c>
      <c r="J84" s="60">
        <f>PSK_AT_verzia_4_0!J84-PSK_AT_verzia_3_5!J84</f>
        <v>0</v>
      </c>
      <c r="K84" s="60">
        <f>PSK_AT_verzia_4_0!K84-PSK_AT_verzia_3_5!K84</f>
        <v>0</v>
      </c>
      <c r="L84" s="60">
        <f>PSK_AT_verzia_4_0!L84-PSK_AT_verzia_3_5!L84</f>
        <v>0</v>
      </c>
      <c r="M84" s="60">
        <f>PSK_AT_verzia_4_0!M84-PSK_AT_verzia_3_5!M84</f>
        <v>0</v>
      </c>
      <c r="N84" s="60">
        <f>PSK_AT_verzia_4_0!N84-PSK_AT_verzia_3_5!N84</f>
        <v>0</v>
      </c>
      <c r="O84" s="60">
        <f>PSK_AT_verzia_4_0!O84-PSK_AT_verzia_3_5!O84</f>
        <v>0</v>
      </c>
      <c r="P84" s="60">
        <f>PSK_AT_verzia_4_0!P84-PSK_AT_verzia_3_5!P84</f>
        <v>0</v>
      </c>
      <c r="Q84" s="60">
        <f>PSK_AT_verzia_4_0!Q84-PSK_AT_verzia_3_5!Q84</f>
        <v>0</v>
      </c>
    </row>
    <row r="85" spans="1:17" ht="28.5" x14ac:dyDescent="0.35">
      <c r="A85" s="229"/>
      <c r="B85" s="232"/>
      <c r="C85" s="200">
        <f>PSK_AT_verzia_4_0!C85-PSK_AT_verzia_3_5!C85</f>
        <v>0</v>
      </c>
      <c r="D85" s="200">
        <f>PSK_AT_verzia_4_0!D85-PSK_AT_verzia_3_5!D85</f>
        <v>0</v>
      </c>
      <c r="E85" s="200">
        <f>PSK_AT_verzia_4_0!E85-PSK_AT_verzia_3_5!E85</f>
        <v>0</v>
      </c>
      <c r="F85" s="66" t="s">
        <v>41</v>
      </c>
      <c r="G85" s="67">
        <f>PSK_AT_verzia_4_0!G85-PSK_AT_verzia_3_5!G85</f>
        <v>0</v>
      </c>
      <c r="H85" s="67">
        <f>PSK_AT_verzia_4_0!H85-PSK_AT_verzia_3_5!H85</f>
        <v>0</v>
      </c>
      <c r="I85" s="67">
        <f>PSK_AT_verzia_4_0!I85-PSK_AT_verzia_3_5!I85</f>
        <v>0</v>
      </c>
      <c r="J85" s="67">
        <f>PSK_AT_verzia_4_0!J85-PSK_AT_verzia_3_5!J85</f>
        <v>0</v>
      </c>
      <c r="K85" s="67">
        <f>PSK_AT_verzia_4_0!K85-PSK_AT_verzia_3_5!K85</f>
        <v>0</v>
      </c>
      <c r="L85" s="67">
        <f>PSK_AT_verzia_4_0!L85-PSK_AT_verzia_3_5!L85</f>
        <v>0</v>
      </c>
      <c r="M85" s="67">
        <f>PSK_AT_verzia_4_0!M85-PSK_AT_verzia_3_5!M85</f>
        <v>0</v>
      </c>
      <c r="N85" s="67">
        <f>PSK_AT_verzia_4_0!N85-PSK_AT_verzia_3_5!N85</f>
        <v>0</v>
      </c>
      <c r="O85" s="67">
        <f>PSK_AT_verzia_4_0!O85-PSK_AT_verzia_3_5!O85</f>
        <v>0</v>
      </c>
      <c r="P85" s="67">
        <f>PSK_AT_verzia_4_0!P85-PSK_AT_verzia_3_5!P85</f>
        <v>0</v>
      </c>
      <c r="Q85" s="67">
        <f>PSK_AT_verzia_4_0!Q85-PSK_AT_verzia_3_5!Q85</f>
        <v>0</v>
      </c>
    </row>
    <row r="86" spans="1:17" ht="28.5" x14ac:dyDescent="0.35">
      <c r="A86" s="229"/>
      <c r="B86" s="232"/>
      <c r="C86" s="60">
        <f>PSK_AT_verzia_4_0!C86-PSK_AT_verzia_3_5!C86</f>
        <v>0</v>
      </c>
      <c r="D86" s="60">
        <f>PSK_AT_verzia_4_0!D86-PSK_AT_verzia_3_5!D86</f>
        <v>0</v>
      </c>
      <c r="E86" s="60">
        <f>PSK_AT_verzia_4_0!E86-PSK_AT_verzia_3_5!E86</f>
        <v>0</v>
      </c>
      <c r="F86" s="85" t="s">
        <v>34</v>
      </c>
      <c r="G86" s="60">
        <f>PSK_AT_verzia_4_0!G86-PSK_AT_verzia_3_5!G86</f>
        <v>0</v>
      </c>
      <c r="H86" s="60">
        <f>PSK_AT_verzia_4_0!H86-PSK_AT_verzia_3_5!H86</f>
        <v>0</v>
      </c>
      <c r="I86" s="60">
        <f>PSK_AT_verzia_4_0!I86-PSK_AT_verzia_3_5!I86</f>
        <v>0</v>
      </c>
      <c r="J86" s="60">
        <f>PSK_AT_verzia_4_0!J86-PSK_AT_verzia_3_5!J86</f>
        <v>0</v>
      </c>
      <c r="K86" s="60">
        <f>PSK_AT_verzia_4_0!K86-PSK_AT_verzia_3_5!K86</f>
        <v>0</v>
      </c>
      <c r="L86" s="60">
        <f>PSK_AT_verzia_4_0!L86-PSK_AT_verzia_3_5!L86</f>
        <v>0</v>
      </c>
      <c r="M86" s="60">
        <f>PSK_AT_verzia_4_0!M86-PSK_AT_verzia_3_5!M86</f>
        <v>0</v>
      </c>
      <c r="N86" s="60">
        <f>PSK_AT_verzia_4_0!N86-PSK_AT_verzia_3_5!N86</f>
        <v>0</v>
      </c>
      <c r="O86" s="60">
        <f>PSK_AT_verzia_4_0!O86-PSK_AT_verzia_3_5!O86</f>
        <v>0</v>
      </c>
      <c r="P86" s="60">
        <f>PSK_AT_verzia_4_0!P86-PSK_AT_verzia_3_5!P86</f>
        <v>0</v>
      </c>
      <c r="Q86" s="60">
        <f>PSK_AT_verzia_4_0!Q86-PSK_AT_verzia_3_5!Q86</f>
        <v>0</v>
      </c>
    </row>
    <row r="87" spans="1:17" ht="28" customHeight="1" x14ac:dyDescent="0.35">
      <c r="A87" s="229"/>
      <c r="B87" s="232"/>
      <c r="C87" s="200">
        <f>PSK_AT_verzia_4_0!C87-PSK_AT_verzia_3_5!C87</f>
        <v>0</v>
      </c>
      <c r="D87" s="200">
        <f>PSK_AT_verzia_4_0!D87-PSK_AT_verzia_3_5!D87</f>
        <v>0</v>
      </c>
      <c r="E87" s="200">
        <f>PSK_AT_verzia_4_0!E87-PSK_AT_verzia_3_5!E87</f>
        <v>0</v>
      </c>
      <c r="F87" s="66" t="s">
        <v>35</v>
      </c>
      <c r="G87" s="67">
        <f>PSK_AT_verzia_4_0!G87-PSK_AT_verzia_3_5!G87</f>
        <v>0</v>
      </c>
      <c r="H87" s="67">
        <f>PSK_AT_verzia_4_0!H87-PSK_AT_verzia_3_5!H87</f>
        <v>0</v>
      </c>
      <c r="I87" s="67">
        <f>PSK_AT_verzia_4_0!I87-PSK_AT_verzia_3_5!I87</f>
        <v>0</v>
      </c>
      <c r="J87" s="67">
        <f>PSK_AT_verzia_4_0!J87-PSK_AT_verzia_3_5!J87</f>
        <v>0</v>
      </c>
      <c r="K87" s="67">
        <f>PSK_AT_verzia_4_0!K87-PSK_AT_verzia_3_5!K87</f>
        <v>0</v>
      </c>
      <c r="L87" s="67">
        <f>PSK_AT_verzia_4_0!L87-PSK_AT_verzia_3_5!L87</f>
        <v>0</v>
      </c>
      <c r="M87" s="67">
        <f>PSK_AT_verzia_4_0!M87-PSK_AT_verzia_3_5!M87</f>
        <v>0</v>
      </c>
      <c r="N87" s="67">
        <f>PSK_AT_verzia_4_0!N87-PSK_AT_verzia_3_5!N87</f>
        <v>0</v>
      </c>
      <c r="O87" s="67">
        <f>PSK_AT_verzia_4_0!O87-PSK_AT_verzia_3_5!O87</f>
        <v>0</v>
      </c>
      <c r="P87" s="67">
        <f>PSK_AT_verzia_4_0!P87-PSK_AT_verzia_3_5!P87</f>
        <v>0</v>
      </c>
      <c r="Q87" s="67">
        <f>PSK_AT_verzia_4_0!Q87-PSK_AT_verzia_3_5!Q87</f>
        <v>0</v>
      </c>
    </row>
    <row r="88" spans="1:17" ht="28" customHeight="1" x14ac:dyDescent="0.35">
      <c r="A88" s="229"/>
      <c r="B88" s="232"/>
      <c r="C88" s="60">
        <f>PSK_AT_verzia_4_0!C88-PSK_AT_verzia_3_5!C88</f>
        <v>0</v>
      </c>
      <c r="D88" s="60">
        <f>PSK_AT_verzia_4_0!D88-PSK_AT_verzia_3_5!D88</f>
        <v>0</v>
      </c>
      <c r="E88" s="60">
        <f>PSK_AT_verzia_4_0!E88-PSK_AT_verzia_3_5!E88</f>
        <v>0</v>
      </c>
      <c r="F88" s="85" t="s">
        <v>49</v>
      </c>
      <c r="G88" s="60">
        <f>PSK_AT_verzia_4_0!G88-PSK_AT_verzia_3_5!G88</f>
        <v>0</v>
      </c>
      <c r="H88" s="60">
        <f>PSK_AT_verzia_4_0!H88-PSK_AT_verzia_3_5!H88</f>
        <v>0</v>
      </c>
      <c r="I88" s="60">
        <f>PSK_AT_verzia_4_0!I88-PSK_AT_verzia_3_5!I88</f>
        <v>0</v>
      </c>
      <c r="J88" s="60">
        <f>PSK_AT_verzia_4_0!J88-PSK_AT_verzia_3_5!J88</f>
        <v>0</v>
      </c>
      <c r="K88" s="60">
        <f>PSK_AT_verzia_4_0!K88-PSK_AT_verzia_3_5!K88</f>
        <v>0</v>
      </c>
      <c r="L88" s="60">
        <f>PSK_AT_verzia_4_0!L88-PSK_AT_verzia_3_5!L88</f>
        <v>0</v>
      </c>
      <c r="M88" s="60">
        <f>PSK_AT_verzia_4_0!M88-PSK_AT_verzia_3_5!M88</f>
        <v>0</v>
      </c>
      <c r="N88" s="60">
        <f>PSK_AT_verzia_4_0!N88-PSK_AT_verzia_3_5!N88</f>
        <v>0</v>
      </c>
      <c r="O88" s="60">
        <f>PSK_AT_verzia_4_0!O88-PSK_AT_verzia_3_5!O88</f>
        <v>0</v>
      </c>
      <c r="P88" s="60">
        <f>PSK_AT_verzia_4_0!P88-PSK_AT_verzia_3_5!P88</f>
        <v>0</v>
      </c>
      <c r="Q88" s="60">
        <f>PSK_AT_verzia_4_0!Q88-PSK_AT_verzia_3_5!Q88</f>
        <v>0</v>
      </c>
    </row>
    <row r="89" spans="1:17" ht="28" customHeight="1" x14ac:dyDescent="0.35">
      <c r="A89" s="229"/>
      <c r="B89" s="232"/>
      <c r="C89" s="200">
        <f>PSK_AT_verzia_4_0!C89-PSK_AT_verzia_3_5!C89</f>
        <v>0</v>
      </c>
      <c r="D89" s="200">
        <f>PSK_AT_verzia_4_0!D89-PSK_AT_verzia_3_5!D89</f>
        <v>0</v>
      </c>
      <c r="E89" s="200">
        <f>PSK_AT_verzia_4_0!E89-PSK_AT_verzia_3_5!E89</f>
        <v>0</v>
      </c>
      <c r="F89" s="66" t="s">
        <v>50</v>
      </c>
      <c r="G89" s="67">
        <f>PSK_AT_verzia_4_0!G89-PSK_AT_verzia_3_5!G89</f>
        <v>0</v>
      </c>
      <c r="H89" s="67">
        <f>PSK_AT_verzia_4_0!H89-PSK_AT_verzia_3_5!H89</f>
        <v>0</v>
      </c>
      <c r="I89" s="67">
        <f>PSK_AT_verzia_4_0!I89-PSK_AT_verzia_3_5!I89</f>
        <v>0</v>
      </c>
      <c r="J89" s="67">
        <f>PSK_AT_verzia_4_0!J89-PSK_AT_verzia_3_5!J89</f>
        <v>0</v>
      </c>
      <c r="K89" s="67">
        <f>PSK_AT_verzia_4_0!K89-PSK_AT_verzia_3_5!K89</f>
        <v>0</v>
      </c>
      <c r="L89" s="67">
        <f>PSK_AT_verzia_4_0!L89-PSK_AT_verzia_3_5!L89</f>
        <v>0</v>
      </c>
      <c r="M89" s="67">
        <f>PSK_AT_verzia_4_0!M89-PSK_AT_verzia_3_5!M89</f>
        <v>0</v>
      </c>
      <c r="N89" s="67">
        <f>PSK_AT_verzia_4_0!N89-PSK_AT_verzia_3_5!N89</f>
        <v>0</v>
      </c>
      <c r="O89" s="67">
        <f>PSK_AT_verzia_4_0!O89-PSK_AT_verzia_3_5!O89</f>
        <v>0</v>
      </c>
      <c r="P89" s="67">
        <f>PSK_AT_verzia_4_0!P89-PSK_AT_verzia_3_5!P89</f>
        <v>0</v>
      </c>
      <c r="Q89" s="67">
        <f>PSK_AT_verzia_4_0!Q89-PSK_AT_verzia_3_5!Q89</f>
        <v>0</v>
      </c>
    </row>
    <row r="90" spans="1:17" ht="28" customHeight="1" x14ac:dyDescent="0.35">
      <c r="A90" s="229"/>
      <c r="B90" s="232"/>
      <c r="C90" s="60">
        <f>PSK_AT_verzia_4_0!C90-PSK_AT_verzia_3_5!C90</f>
        <v>0</v>
      </c>
      <c r="D90" s="60">
        <f>PSK_AT_verzia_4_0!D90-PSK_AT_verzia_3_5!D90</f>
        <v>0</v>
      </c>
      <c r="E90" s="60">
        <f>PSK_AT_verzia_4_0!E90-PSK_AT_verzia_3_5!E90</f>
        <v>0</v>
      </c>
      <c r="F90" s="85" t="s">
        <v>36</v>
      </c>
      <c r="G90" s="60">
        <f>PSK_AT_verzia_4_0!G90-PSK_AT_verzia_3_5!G90</f>
        <v>0</v>
      </c>
      <c r="H90" s="60">
        <f>PSK_AT_verzia_4_0!H90-PSK_AT_verzia_3_5!H90</f>
        <v>0</v>
      </c>
      <c r="I90" s="60">
        <f>PSK_AT_verzia_4_0!I90-PSK_AT_verzia_3_5!I90</f>
        <v>0</v>
      </c>
      <c r="J90" s="60">
        <f>PSK_AT_verzia_4_0!J90-PSK_AT_verzia_3_5!J90</f>
        <v>0</v>
      </c>
      <c r="K90" s="60">
        <f>PSK_AT_verzia_4_0!K90-PSK_AT_verzia_3_5!K90</f>
        <v>0</v>
      </c>
      <c r="L90" s="60">
        <f>PSK_AT_verzia_4_0!L90-PSK_AT_verzia_3_5!L90</f>
        <v>0</v>
      </c>
      <c r="M90" s="60">
        <f>PSK_AT_verzia_4_0!M90-PSK_AT_verzia_3_5!M90</f>
        <v>0</v>
      </c>
      <c r="N90" s="60">
        <f>PSK_AT_verzia_4_0!N90-PSK_AT_verzia_3_5!N90</f>
        <v>0</v>
      </c>
      <c r="O90" s="60">
        <f>PSK_AT_verzia_4_0!O90-PSK_AT_verzia_3_5!O90</f>
        <v>0</v>
      </c>
      <c r="P90" s="60">
        <f>PSK_AT_verzia_4_0!P90-PSK_AT_verzia_3_5!P90</f>
        <v>0</v>
      </c>
      <c r="Q90" s="60">
        <f>PSK_AT_verzia_4_0!Q90-PSK_AT_verzia_3_5!Q90</f>
        <v>0</v>
      </c>
    </row>
    <row r="91" spans="1:17" ht="28" customHeight="1" x14ac:dyDescent="0.35">
      <c r="A91" s="230"/>
      <c r="B91" s="233"/>
      <c r="C91" s="200">
        <f>PSK_AT_verzia_4_0!C91-PSK_AT_verzia_3_5!C91</f>
        <v>0</v>
      </c>
      <c r="D91" s="200">
        <f>PSK_AT_verzia_4_0!D91-PSK_AT_verzia_3_5!D91</f>
        <v>0</v>
      </c>
      <c r="E91" s="200">
        <f>PSK_AT_verzia_4_0!E91-PSK_AT_verzia_3_5!E91</f>
        <v>0</v>
      </c>
      <c r="F91" s="66" t="s">
        <v>37</v>
      </c>
      <c r="G91" s="67">
        <f>PSK_AT_verzia_4_0!G91-PSK_AT_verzia_3_5!G91</f>
        <v>0</v>
      </c>
      <c r="H91" s="67">
        <f>PSK_AT_verzia_4_0!H91-PSK_AT_verzia_3_5!H91</f>
        <v>0</v>
      </c>
      <c r="I91" s="67">
        <f>PSK_AT_verzia_4_0!I91-PSK_AT_verzia_3_5!I91</f>
        <v>0</v>
      </c>
      <c r="J91" s="67">
        <f>PSK_AT_verzia_4_0!J91-PSK_AT_verzia_3_5!J91</f>
        <v>0</v>
      </c>
      <c r="K91" s="67">
        <f>PSK_AT_verzia_4_0!K91-PSK_AT_verzia_3_5!K91</f>
        <v>0</v>
      </c>
      <c r="L91" s="67">
        <f>PSK_AT_verzia_4_0!L91-PSK_AT_verzia_3_5!L91</f>
        <v>0</v>
      </c>
      <c r="M91" s="67">
        <f>PSK_AT_verzia_4_0!M91-PSK_AT_verzia_3_5!M91</f>
        <v>0</v>
      </c>
      <c r="N91" s="67">
        <f>PSK_AT_verzia_4_0!N91-PSK_AT_verzia_3_5!N91</f>
        <v>0</v>
      </c>
      <c r="O91" s="67">
        <f>PSK_AT_verzia_4_0!O91-PSK_AT_verzia_3_5!O91</f>
        <v>0</v>
      </c>
      <c r="P91" s="67">
        <f>PSK_AT_verzia_4_0!P91-PSK_AT_verzia_3_5!P91</f>
        <v>0</v>
      </c>
      <c r="Q91" s="67">
        <f>PSK_AT_verzia_4_0!Q91-PSK_AT_verzia_3_5!Q91</f>
        <v>0</v>
      </c>
    </row>
    <row r="92" spans="1:17" ht="28" customHeight="1" x14ac:dyDescent="0.35">
      <c r="A92" s="45" t="s">
        <v>751</v>
      </c>
      <c r="B92" s="46" t="s">
        <v>752</v>
      </c>
      <c r="C92" s="47">
        <f>PSK_AT_verzia_4_0!C92</f>
        <v>0</v>
      </c>
      <c r="D92" s="47">
        <f>PSK_AT_verzia_4_0!D92</f>
        <v>0</v>
      </c>
      <c r="E92" s="47">
        <f>PSK_AT_verzia_4_0!E92</f>
        <v>0</v>
      </c>
      <c r="F92" s="49"/>
      <c r="G92" s="48">
        <f>PSK_AT_verzia_4_0!G92</f>
        <v>84155689</v>
      </c>
      <c r="H92" s="48">
        <f>PSK_AT_verzia_4_0!H92</f>
        <v>58795405</v>
      </c>
      <c r="I92" s="48">
        <f>PSK_AT_verzia_4_0!I92</f>
        <v>25360284</v>
      </c>
      <c r="J92" s="48">
        <f>PSK_AT_verzia_4_0!J92</f>
        <v>84155689</v>
      </c>
      <c r="K92" s="48">
        <f>PSK_AT_verzia_4_0!K92</f>
        <v>58795405</v>
      </c>
      <c r="L92" s="48">
        <f>PSK_AT_verzia_4_0!L92</f>
        <v>25360284</v>
      </c>
      <c r="M92" s="48">
        <f>PSK_AT_verzia_4_0!M92</f>
        <v>0</v>
      </c>
      <c r="N92" s="48">
        <f>PSK_AT_verzia_4_0!N92</f>
        <v>0</v>
      </c>
      <c r="O92" s="48">
        <f>PSK_AT_verzia_4_0!O92</f>
        <v>0</v>
      </c>
      <c r="P92" s="48">
        <f>PSK_AT_verzia_4_0!P92</f>
        <v>0</v>
      </c>
      <c r="Q92" s="48">
        <f>PSK_AT_verzia_4_0!Q92</f>
        <v>0</v>
      </c>
    </row>
    <row r="93" spans="1:17" ht="28" customHeight="1" x14ac:dyDescent="0.35">
      <c r="A93" s="228" t="s">
        <v>94</v>
      </c>
      <c r="B93" s="231" t="s">
        <v>807</v>
      </c>
      <c r="C93" s="52">
        <f>PSK_AT_verzia_4_0!C93</f>
        <v>0</v>
      </c>
      <c r="D93" s="52">
        <f>PSK_AT_verzia_4_0!D93</f>
        <v>0</v>
      </c>
      <c r="E93" s="52">
        <f>PSK_AT_verzia_4_0!E93</f>
        <v>0</v>
      </c>
      <c r="F93" s="54" t="s">
        <v>96</v>
      </c>
      <c r="G93" s="52">
        <f>PSK_AT_verzia_4_0!G93</f>
        <v>84155689</v>
      </c>
      <c r="H93" s="52">
        <f>PSK_AT_verzia_4_0!H93</f>
        <v>58795405</v>
      </c>
      <c r="I93" s="52">
        <f>PSK_AT_verzia_4_0!I93</f>
        <v>25360284</v>
      </c>
      <c r="J93" s="52">
        <f>PSK_AT_verzia_4_0!J93</f>
        <v>84155689</v>
      </c>
      <c r="K93" s="52">
        <f>PSK_AT_verzia_4_0!K93</f>
        <v>58795405</v>
      </c>
      <c r="L93" s="52">
        <f>PSK_AT_verzia_4_0!L93</f>
        <v>25360284</v>
      </c>
      <c r="M93" s="52">
        <f>PSK_AT_verzia_4_0!M93</f>
        <v>0</v>
      </c>
      <c r="N93" s="52">
        <f>PSK_AT_verzia_4_0!N93</f>
        <v>0</v>
      </c>
      <c r="O93" s="52">
        <f>PSK_AT_verzia_4_0!O93</f>
        <v>0</v>
      </c>
      <c r="P93" s="52">
        <f>PSK_AT_verzia_4_0!P93</f>
        <v>0</v>
      </c>
      <c r="Q93" s="52">
        <f>PSK_AT_verzia_4_0!Q93</f>
        <v>0</v>
      </c>
    </row>
    <row r="94" spans="1:17" ht="28" customHeight="1" x14ac:dyDescent="0.35">
      <c r="A94" s="229"/>
      <c r="B94" s="232"/>
      <c r="C94" s="60">
        <f>PSK_AT_verzia_4_0!C94</f>
        <v>0</v>
      </c>
      <c r="D94" s="60">
        <f>PSK_AT_verzia_4_0!D94</f>
        <v>0</v>
      </c>
      <c r="E94" s="60">
        <f>PSK_AT_verzia_4_0!E94</f>
        <v>0</v>
      </c>
      <c r="F94" s="85" t="s">
        <v>40</v>
      </c>
      <c r="G94" s="60">
        <f>PSK_AT_verzia_4_0!G94</f>
        <v>30000000</v>
      </c>
      <c r="H94" s="60">
        <f>PSK_AT_verzia_4_0!H94</f>
        <v>20479461</v>
      </c>
      <c r="I94" s="60">
        <f>PSK_AT_verzia_4_0!I94</f>
        <v>9520539</v>
      </c>
      <c r="J94" s="60">
        <f>PSK_AT_verzia_4_0!J94</f>
        <v>30000000</v>
      </c>
      <c r="K94" s="60">
        <f>PSK_AT_verzia_4_0!K94</f>
        <v>20479461</v>
      </c>
      <c r="L94" s="60">
        <f>PSK_AT_verzia_4_0!L94</f>
        <v>9520539</v>
      </c>
      <c r="M94" s="60">
        <f>PSK_AT_verzia_4_0!M94</f>
        <v>0</v>
      </c>
      <c r="N94" s="60">
        <f>PSK_AT_verzia_4_0!N94</f>
        <v>0</v>
      </c>
      <c r="O94" s="60">
        <f>PSK_AT_verzia_4_0!O94</f>
        <v>0</v>
      </c>
      <c r="P94" s="60">
        <f>PSK_AT_verzia_4_0!P94</f>
        <v>0</v>
      </c>
      <c r="Q94" s="60">
        <f>PSK_AT_verzia_4_0!Q94</f>
        <v>0</v>
      </c>
    </row>
    <row r="95" spans="1:17" ht="28" customHeight="1" x14ac:dyDescent="0.35">
      <c r="A95" s="229"/>
      <c r="B95" s="232"/>
      <c r="C95" s="200">
        <f>PSK_AT_verzia_4_0!C95</f>
        <v>0</v>
      </c>
      <c r="D95" s="200">
        <f>PSK_AT_verzia_4_0!D95</f>
        <v>0</v>
      </c>
      <c r="E95" s="200">
        <f>PSK_AT_verzia_4_0!E95</f>
        <v>0</v>
      </c>
      <c r="F95" s="66" t="s">
        <v>41</v>
      </c>
      <c r="G95" s="67">
        <f>PSK_AT_verzia_4_0!G95</f>
        <v>30000000</v>
      </c>
      <c r="H95" s="67">
        <f>PSK_AT_verzia_4_0!H95</f>
        <v>20479461</v>
      </c>
      <c r="I95" s="67">
        <f>PSK_AT_verzia_4_0!I95</f>
        <v>9520539</v>
      </c>
      <c r="J95" s="67">
        <f>PSK_AT_verzia_4_0!J95</f>
        <v>30000000</v>
      </c>
      <c r="K95" s="67">
        <f>PSK_AT_verzia_4_0!K95</f>
        <v>20479461</v>
      </c>
      <c r="L95" s="67">
        <f>PSK_AT_verzia_4_0!L95</f>
        <v>9520539</v>
      </c>
      <c r="M95" s="67">
        <f>PSK_AT_verzia_4_0!M95</f>
        <v>0</v>
      </c>
      <c r="N95" s="67">
        <f>PSK_AT_verzia_4_0!N95</f>
        <v>0</v>
      </c>
      <c r="O95" s="67">
        <f>PSK_AT_verzia_4_0!O95</f>
        <v>0</v>
      </c>
      <c r="P95" s="67">
        <f>PSK_AT_verzia_4_0!P95</f>
        <v>0</v>
      </c>
      <c r="Q95" s="67">
        <f>PSK_AT_verzia_4_0!Q95</f>
        <v>0</v>
      </c>
    </row>
    <row r="96" spans="1:17" ht="28" customHeight="1" x14ac:dyDescent="0.35">
      <c r="A96" s="229"/>
      <c r="B96" s="232"/>
      <c r="C96" s="60">
        <f>PSK_AT_verzia_4_0!C96</f>
        <v>0</v>
      </c>
      <c r="D96" s="60">
        <f>PSK_AT_verzia_4_0!D96</f>
        <v>0</v>
      </c>
      <c r="E96" s="60">
        <f>PSK_AT_verzia_4_0!E96</f>
        <v>0</v>
      </c>
      <c r="F96" s="85" t="s">
        <v>34</v>
      </c>
      <c r="G96" s="60">
        <f>PSK_AT_verzia_4_0!G96</f>
        <v>22000000</v>
      </c>
      <c r="H96" s="60">
        <f>PSK_AT_verzia_4_0!H96</f>
        <v>18160255</v>
      </c>
      <c r="I96" s="60">
        <f>PSK_AT_verzia_4_0!I96</f>
        <v>3839745</v>
      </c>
      <c r="J96" s="60">
        <f>PSK_AT_verzia_4_0!J96</f>
        <v>22000000</v>
      </c>
      <c r="K96" s="60">
        <f>PSK_AT_verzia_4_0!K96</f>
        <v>18160255</v>
      </c>
      <c r="L96" s="60">
        <f>PSK_AT_verzia_4_0!L96</f>
        <v>3839745</v>
      </c>
      <c r="M96" s="60">
        <f>PSK_AT_verzia_4_0!M96</f>
        <v>0</v>
      </c>
      <c r="N96" s="60">
        <f>PSK_AT_verzia_4_0!N96</f>
        <v>0</v>
      </c>
      <c r="O96" s="60">
        <f>PSK_AT_verzia_4_0!O96</f>
        <v>0</v>
      </c>
      <c r="P96" s="60">
        <f>PSK_AT_verzia_4_0!P96</f>
        <v>0</v>
      </c>
      <c r="Q96" s="60">
        <f>PSK_AT_verzia_4_0!Q96</f>
        <v>0</v>
      </c>
    </row>
    <row r="97" spans="1:22" ht="28" customHeight="1" x14ac:dyDescent="0.35">
      <c r="A97" s="229"/>
      <c r="B97" s="232"/>
      <c r="C97" s="200">
        <f>PSK_AT_verzia_4_0!C97</f>
        <v>0</v>
      </c>
      <c r="D97" s="200">
        <f>PSK_AT_verzia_4_0!D97</f>
        <v>0</v>
      </c>
      <c r="E97" s="200">
        <f>PSK_AT_verzia_4_0!E97</f>
        <v>0</v>
      </c>
      <c r="F97" s="66" t="s">
        <v>35</v>
      </c>
      <c r="G97" s="67">
        <f>PSK_AT_verzia_4_0!G97</f>
        <v>22000000</v>
      </c>
      <c r="H97" s="67">
        <f>PSK_AT_verzia_4_0!H97</f>
        <v>18160255</v>
      </c>
      <c r="I97" s="67">
        <f>PSK_AT_verzia_4_0!I97</f>
        <v>3839745</v>
      </c>
      <c r="J97" s="67">
        <f>PSK_AT_verzia_4_0!J97</f>
        <v>22000000</v>
      </c>
      <c r="K97" s="67">
        <f>PSK_AT_verzia_4_0!K97</f>
        <v>18160255</v>
      </c>
      <c r="L97" s="67">
        <f>PSK_AT_verzia_4_0!L97</f>
        <v>3839745</v>
      </c>
      <c r="M97" s="67">
        <f>PSK_AT_verzia_4_0!M97</f>
        <v>0</v>
      </c>
      <c r="N97" s="67">
        <f>PSK_AT_verzia_4_0!N97</f>
        <v>0</v>
      </c>
      <c r="O97" s="67">
        <f>PSK_AT_verzia_4_0!O97</f>
        <v>0</v>
      </c>
      <c r="P97" s="67">
        <f>PSK_AT_verzia_4_0!P97</f>
        <v>0</v>
      </c>
      <c r="Q97" s="67">
        <f>PSK_AT_verzia_4_0!Q97</f>
        <v>0</v>
      </c>
    </row>
    <row r="98" spans="1:22" ht="28" customHeight="1" x14ac:dyDescent="0.35">
      <c r="A98" s="229"/>
      <c r="B98" s="232"/>
      <c r="C98" s="60">
        <f>PSK_AT_verzia_4_0!C98</f>
        <v>0</v>
      </c>
      <c r="D98" s="60">
        <f>PSK_AT_verzia_4_0!D98</f>
        <v>0</v>
      </c>
      <c r="E98" s="60">
        <f>PSK_AT_verzia_4_0!E98</f>
        <v>0</v>
      </c>
      <c r="F98" s="85" t="s">
        <v>49</v>
      </c>
      <c r="G98" s="60">
        <f>PSK_AT_verzia_4_0!G98</f>
        <v>32155689</v>
      </c>
      <c r="H98" s="60">
        <f>PSK_AT_verzia_4_0!H98</f>
        <v>20155689</v>
      </c>
      <c r="I98" s="60">
        <f>PSK_AT_verzia_4_0!I98</f>
        <v>12000000</v>
      </c>
      <c r="J98" s="60">
        <f>PSK_AT_verzia_4_0!J98</f>
        <v>32155689</v>
      </c>
      <c r="K98" s="60">
        <f>PSK_AT_verzia_4_0!K98</f>
        <v>20155689</v>
      </c>
      <c r="L98" s="60">
        <f>PSK_AT_verzia_4_0!L98</f>
        <v>12000000</v>
      </c>
      <c r="M98" s="60">
        <f>PSK_AT_verzia_4_0!M98</f>
        <v>0</v>
      </c>
      <c r="N98" s="60">
        <f>PSK_AT_verzia_4_0!N98</f>
        <v>0</v>
      </c>
      <c r="O98" s="60">
        <f>PSK_AT_verzia_4_0!O98</f>
        <v>0</v>
      </c>
      <c r="P98" s="60">
        <f>PSK_AT_verzia_4_0!P98</f>
        <v>0</v>
      </c>
      <c r="Q98" s="60">
        <f>PSK_AT_verzia_4_0!Q98</f>
        <v>0</v>
      </c>
    </row>
    <row r="99" spans="1:22" ht="28" customHeight="1" x14ac:dyDescent="0.35">
      <c r="A99" s="229"/>
      <c r="B99" s="232"/>
      <c r="C99" s="200">
        <f>PSK_AT_verzia_4_0!C99</f>
        <v>0</v>
      </c>
      <c r="D99" s="200">
        <f>PSK_AT_verzia_4_0!D99</f>
        <v>0</v>
      </c>
      <c r="E99" s="200">
        <f>PSK_AT_verzia_4_0!E99</f>
        <v>0</v>
      </c>
      <c r="F99" s="66" t="s">
        <v>50</v>
      </c>
      <c r="G99" s="67">
        <f>PSK_AT_verzia_4_0!G99</f>
        <v>32155689</v>
      </c>
      <c r="H99" s="67">
        <f>PSK_AT_verzia_4_0!H99</f>
        <v>20155689</v>
      </c>
      <c r="I99" s="67">
        <f>PSK_AT_verzia_4_0!I99</f>
        <v>12000000</v>
      </c>
      <c r="J99" s="67">
        <f>PSK_AT_verzia_4_0!J99</f>
        <v>32155689</v>
      </c>
      <c r="K99" s="67">
        <f>PSK_AT_verzia_4_0!K99</f>
        <v>20155689</v>
      </c>
      <c r="L99" s="67">
        <f>PSK_AT_verzia_4_0!L99</f>
        <v>12000000</v>
      </c>
      <c r="M99" s="67">
        <f>PSK_AT_verzia_4_0!M99</f>
        <v>0</v>
      </c>
      <c r="N99" s="67">
        <f>PSK_AT_verzia_4_0!N99</f>
        <v>0</v>
      </c>
      <c r="O99" s="67">
        <f>PSK_AT_verzia_4_0!O99</f>
        <v>0</v>
      </c>
      <c r="P99" s="67">
        <f>PSK_AT_verzia_4_0!P99</f>
        <v>0</v>
      </c>
      <c r="Q99" s="67">
        <f>PSK_AT_verzia_4_0!Q99</f>
        <v>0</v>
      </c>
    </row>
    <row r="100" spans="1:22" ht="28" customHeight="1" x14ac:dyDescent="0.35">
      <c r="A100" s="45" t="s">
        <v>753</v>
      </c>
      <c r="B100" s="46" t="s">
        <v>756</v>
      </c>
      <c r="C100" s="47">
        <f>PSK_AT_verzia_4_0!C100</f>
        <v>0</v>
      </c>
      <c r="D100" s="47">
        <f>PSK_AT_verzia_4_0!D100</f>
        <v>0</v>
      </c>
      <c r="E100" s="47">
        <f>PSK_AT_verzia_4_0!E100</f>
        <v>0</v>
      </c>
      <c r="F100" s="82"/>
      <c r="G100" s="48">
        <f>PSK_AT_verzia_4_0!G100</f>
        <v>21208961</v>
      </c>
      <c r="H100" s="48">
        <f>PSK_AT_verzia_4_0!H100</f>
        <v>20419466</v>
      </c>
      <c r="I100" s="48">
        <f>PSK_AT_verzia_4_0!I100</f>
        <v>789495</v>
      </c>
      <c r="J100" s="48">
        <f>PSK_AT_verzia_4_0!J100</f>
        <v>21208961</v>
      </c>
      <c r="K100" s="48">
        <f>PSK_AT_verzia_4_0!K100</f>
        <v>20419466</v>
      </c>
      <c r="L100" s="48">
        <f>PSK_AT_verzia_4_0!L100</f>
        <v>789495</v>
      </c>
      <c r="M100" s="48">
        <f>PSK_AT_verzia_4_0!M100</f>
        <v>0</v>
      </c>
      <c r="N100" s="48">
        <f>PSK_AT_verzia_4_0!N100</f>
        <v>0</v>
      </c>
      <c r="O100" s="48">
        <f>PSK_AT_verzia_4_0!O100</f>
        <v>0</v>
      </c>
      <c r="P100" s="48">
        <f>PSK_AT_verzia_4_0!P100</f>
        <v>0</v>
      </c>
      <c r="Q100" s="48">
        <f>PSK_AT_verzia_4_0!Q100</f>
        <v>0</v>
      </c>
    </row>
    <row r="101" spans="1:22" ht="28" customHeight="1" x14ac:dyDescent="0.35">
      <c r="A101" s="243" t="s">
        <v>754</v>
      </c>
      <c r="B101" s="246" t="s">
        <v>808</v>
      </c>
      <c r="C101" s="52">
        <f>PSK_AT_verzia_4_0!C101</f>
        <v>0</v>
      </c>
      <c r="D101" s="52">
        <f>PSK_AT_verzia_4_0!D101</f>
        <v>0</v>
      </c>
      <c r="E101" s="52">
        <f>PSK_AT_verzia_4_0!E101</f>
        <v>0</v>
      </c>
      <c r="F101" s="54" t="s">
        <v>755</v>
      </c>
      <c r="G101" s="52">
        <f>PSK_AT_verzia_4_0!G101</f>
        <v>21208961</v>
      </c>
      <c r="H101" s="52">
        <f>PSK_AT_verzia_4_0!H101</f>
        <v>20419466</v>
      </c>
      <c r="I101" s="52">
        <f>PSK_AT_verzia_4_0!I101</f>
        <v>789495</v>
      </c>
      <c r="J101" s="52">
        <f>PSK_AT_verzia_4_0!J101</f>
        <v>21208961</v>
      </c>
      <c r="K101" s="52">
        <f>PSK_AT_verzia_4_0!K101</f>
        <v>20419466</v>
      </c>
      <c r="L101" s="52">
        <f>PSK_AT_verzia_4_0!L101</f>
        <v>789495</v>
      </c>
      <c r="M101" s="52">
        <f>PSK_AT_verzia_4_0!M101</f>
        <v>0</v>
      </c>
      <c r="N101" s="52">
        <f>PSK_AT_verzia_4_0!N101</f>
        <v>0</v>
      </c>
      <c r="O101" s="52">
        <f>PSK_AT_verzia_4_0!O101</f>
        <v>0</v>
      </c>
      <c r="P101" s="52">
        <f>PSK_AT_verzia_4_0!P101</f>
        <v>0</v>
      </c>
      <c r="Q101" s="52">
        <f>PSK_AT_verzia_4_0!Q101</f>
        <v>0</v>
      </c>
    </row>
    <row r="102" spans="1:22" ht="28" customHeight="1" x14ac:dyDescent="0.35">
      <c r="A102" s="244"/>
      <c r="B102" s="247"/>
      <c r="C102" s="60">
        <f>PSK_AT_verzia_4_0!C102</f>
        <v>0</v>
      </c>
      <c r="D102" s="60">
        <f>PSK_AT_verzia_4_0!D102</f>
        <v>0</v>
      </c>
      <c r="E102" s="60">
        <f>PSK_AT_verzia_4_0!E102</f>
        <v>0</v>
      </c>
      <c r="F102" s="61" t="s">
        <v>36</v>
      </c>
      <c r="G102" s="60">
        <f>PSK_AT_verzia_4_0!G102</f>
        <v>21208961</v>
      </c>
      <c r="H102" s="60">
        <f>PSK_AT_verzia_4_0!H102</f>
        <v>20419466</v>
      </c>
      <c r="I102" s="60">
        <f>PSK_AT_verzia_4_0!I102</f>
        <v>789495</v>
      </c>
      <c r="J102" s="60">
        <f>PSK_AT_verzia_4_0!J102</f>
        <v>21208961</v>
      </c>
      <c r="K102" s="60">
        <f>PSK_AT_verzia_4_0!K102</f>
        <v>20419466</v>
      </c>
      <c r="L102" s="60">
        <f>PSK_AT_verzia_4_0!L102</f>
        <v>789495</v>
      </c>
      <c r="M102" s="60">
        <f>PSK_AT_verzia_4_0!M102</f>
        <v>0</v>
      </c>
      <c r="N102" s="60">
        <f>PSK_AT_verzia_4_0!N102</f>
        <v>0</v>
      </c>
      <c r="O102" s="60">
        <f>PSK_AT_verzia_4_0!O102</f>
        <v>0</v>
      </c>
      <c r="P102" s="60">
        <f>PSK_AT_verzia_4_0!P102</f>
        <v>0</v>
      </c>
      <c r="Q102" s="60">
        <f>PSK_AT_verzia_4_0!Q102</f>
        <v>0</v>
      </c>
    </row>
    <row r="103" spans="1:22" ht="28" customHeight="1" x14ac:dyDescent="0.35">
      <c r="A103" s="245"/>
      <c r="B103" s="248"/>
      <c r="C103" s="200">
        <f>PSK_AT_verzia_4_0!C103</f>
        <v>0</v>
      </c>
      <c r="D103" s="200">
        <f>PSK_AT_verzia_4_0!D103</f>
        <v>0</v>
      </c>
      <c r="E103" s="200">
        <f>PSK_AT_verzia_4_0!E103</f>
        <v>0</v>
      </c>
      <c r="F103" s="66" t="s">
        <v>37</v>
      </c>
      <c r="G103" s="67">
        <f>PSK_AT_verzia_4_0!G103</f>
        <v>21208961</v>
      </c>
      <c r="H103" s="67">
        <f>PSK_AT_verzia_4_0!H103</f>
        <v>20419466</v>
      </c>
      <c r="I103" s="67">
        <f>PSK_AT_verzia_4_0!I103</f>
        <v>789495</v>
      </c>
      <c r="J103" s="67">
        <f>PSK_AT_verzia_4_0!J103</f>
        <v>21208961</v>
      </c>
      <c r="K103" s="67">
        <f>PSK_AT_verzia_4_0!K103</f>
        <v>20419466</v>
      </c>
      <c r="L103" s="67">
        <f>PSK_AT_verzia_4_0!L103</f>
        <v>789495</v>
      </c>
      <c r="M103" s="67">
        <f>PSK_AT_verzia_4_0!M103</f>
        <v>0</v>
      </c>
      <c r="N103" s="67">
        <f>PSK_AT_verzia_4_0!N103</f>
        <v>0</v>
      </c>
      <c r="O103" s="67">
        <f>PSK_AT_verzia_4_0!O103</f>
        <v>0</v>
      </c>
      <c r="P103" s="67">
        <f>PSK_AT_verzia_4_0!P103</f>
        <v>0</v>
      </c>
      <c r="Q103" s="67">
        <f>PSK_AT_verzia_4_0!Q103</f>
        <v>0</v>
      </c>
    </row>
    <row r="104" spans="1:22" s="86" customFormat="1" ht="182" x14ac:dyDescent="0.35">
      <c r="A104" s="39" t="s">
        <v>97</v>
      </c>
      <c r="B104" s="40" t="s">
        <v>98</v>
      </c>
      <c r="C104" s="41">
        <f>PSK_AT_verzia_4_0!C104-PSK_AT_verzia_3_5!C92</f>
        <v>-27602229</v>
      </c>
      <c r="D104" s="41">
        <f>PSK_AT_verzia_4_0!D104-PSK_AT_verzia_3_5!D92</f>
        <v>-3700000</v>
      </c>
      <c r="E104" s="41">
        <f>PSK_AT_verzia_4_0!E104-PSK_AT_verzia_3_5!E92</f>
        <v>0</v>
      </c>
      <c r="F104" s="42"/>
      <c r="G104" s="42">
        <f>PSK_AT_verzia_4_0!G104-PSK_AT_verzia_3_5!G92</f>
        <v>-177851585</v>
      </c>
      <c r="H104" s="42">
        <f>PSK_AT_verzia_4_0!H104-PSK_AT_verzia_3_5!H92</f>
        <v>-123503514</v>
      </c>
      <c r="I104" s="42">
        <f>PSK_AT_verzia_4_0!I104-PSK_AT_verzia_3_5!I92</f>
        <v>-24148071</v>
      </c>
      <c r="J104" s="42">
        <f>PSK_AT_verzia_4_0!J104-PSK_AT_verzia_3_5!J92</f>
        <v>-147651585</v>
      </c>
      <c r="K104" s="42">
        <f>PSK_AT_verzia_4_0!K104-PSK_AT_verzia_3_5!K92</f>
        <v>-123503514</v>
      </c>
      <c r="L104" s="42">
        <f>PSK_AT_verzia_4_0!L104-PSK_AT_verzia_3_5!L92</f>
        <v>-24148071</v>
      </c>
      <c r="M104" s="42">
        <f>PSK_AT_verzia_4_0!M104-PSK_AT_verzia_3_5!M92</f>
        <v>-30200000</v>
      </c>
      <c r="N104" s="42">
        <f>PSK_AT_verzia_4_0!N104-PSK_AT_verzia_3_5!N92</f>
        <v>0</v>
      </c>
      <c r="O104" s="42">
        <f>PSK_AT_verzia_4_0!O104-PSK_AT_verzia_3_5!O92</f>
        <v>0</v>
      </c>
      <c r="P104" s="42">
        <f>PSK_AT_verzia_4_0!P104-PSK_AT_verzia_3_5!P92</f>
        <v>0</v>
      </c>
      <c r="Q104" s="42">
        <f>PSK_AT_verzia_4_0!Q104-PSK_AT_verzia_3_5!Q92</f>
        <v>0</v>
      </c>
    </row>
    <row r="105" spans="1:22" s="86" customFormat="1" ht="30" customHeight="1" x14ac:dyDescent="0.35">
      <c r="A105" s="45" t="s">
        <v>99</v>
      </c>
      <c r="B105" s="46" t="s">
        <v>100</v>
      </c>
      <c r="C105" s="47">
        <f>PSK_AT_verzia_4_0!C105-PSK_AT_verzia_3_5!C93</f>
        <v>25749877</v>
      </c>
      <c r="D105" s="47">
        <f>PSK_AT_verzia_4_0!D105-PSK_AT_verzia_3_5!D93</f>
        <v>0</v>
      </c>
      <c r="E105" s="47">
        <f>PSK_AT_verzia_4_0!E105-PSK_AT_verzia_3_5!E93</f>
        <v>0</v>
      </c>
      <c r="F105" s="48"/>
      <c r="G105" s="48">
        <f>PSK_AT_verzia_4_0!G105-PSK_AT_verzia_3_5!G93</f>
        <v>-99417692</v>
      </c>
      <c r="H105" s="48">
        <f>PSK_AT_verzia_4_0!H105-PSK_AT_verzia_3_5!H93</f>
        <v>-66596313</v>
      </c>
      <c r="I105" s="48">
        <f>PSK_AT_verzia_4_0!I105-PSK_AT_verzia_3_5!I93</f>
        <v>-32821379</v>
      </c>
      <c r="J105" s="48">
        <f>PSK_AT_verzia_4_0!J105-PSK_AT_verzia_3_5!J93</f>
        <v>-99417692</v>
      </c>
      <c r="K105" s="48">
        <f>PSK_AT_verzia_4_0!K105-PSK_AT_verzia_3_5!K93</f>
        <v>-66596313</v>
      </c>
      <c r="L105" s="48">
        <f>PSK_AT_verzia_4_0!L105-PSK_AT_verzia_3_5!L93</f>
        <v>-32821379</v>
      </c>
      <c r="M105" s="48">
        <f>PSK_AT_verzia_4_0!M105-PSK_AT_verzia_3_5!M93</f>
        <v>0</v>
      </c>
      <c r="N105" s="48">
        <f>PSK_AT_verzia_4_0!N105-PSK_AT_verzia_3_5!N93</f>
        <v>0</v>
      </c>
      <c r="O105" s="48">
        <f>PSK_AT_verzia_4_0!O105-PSK_AT_verzia_3_5!O93</f>
        <v>0</v>
      </c>
      <c r="P105" s="48">
        <f>PSK_AT_verzia_4_0!P105-PSK_AT_verzia_3_5!P93</f>
        <v>0</v>
      </c>
      <c r="Q105" s="48">
        <f>PSK_AT_verzia_4_0!Q105-PSK_AT_verzia_3_5!Q93</f>
        <v>0</v>
      </c>
    </row>
    <row r="106" spans="1:22" s="55" customFormat="1" ht="52" x14ac:dyDescent="0.35">
      <c r="A106" s="87" t="s">
        <v>101</v>
      </c>
      <c r="B106" s="88" t="s">
        <v>102</v>
      </c>
      <c r="C106" s="52">
        <f>PSK_AT_verzia_4_0!C106-PSK_AT_verzia_3_5!C94</f>
        <v>27452430</v>
      </c>
      <c r="D106" s="52">
        <f>PSK_AT_verzia_4_0!D106-PSK_AT_verzia_3_5!D94</f>
        <v>0</v>
      </c>
      <c r="E106" s="52">
        <f>PSK_AT_verzia_4_0!E106-PSK_AT_verzia_3_5!E94</f>
        <v>0</v>
      </c>
      <c r="F106" s="54" t="s">
        <v>103</v>
      </c>
      <c r="G106" s="52">
        <f>PSK_AT_verzia_4_0!G106-PSK_AT_verzia_3_5!G94</f>
        <v>23115779</v>
      </c>
      <c r="H106" s="52">
        <f>PSK_AT_verzia_4_0!H106-PSK_AT_verzia_3_5!H94</f>
        <v>20806260</v>
      </c>
      <c r="I106" s="52">
        <f>PSK_AT_verzia_4_0!I106-PSK_AT_verzia_3_5!I94</f>
        <v>2309519</v>
      </c>
      <c r="J106" s="52">
        <f>PSK_AT_verzia_4_0!J106-PSK_AT_verzia_3_5!J94</f>
        <v>23115779</v>
      </c>
      <c r="K106" s="52">
        <f>PSK_AT_verzia_4_0!K106-PSK_AT_verzia_3_5!K94</f>
        <v>20806260</v>
      </c>
      <c r="L106" s="52">
        <f>PSK_AT_verzia_4_0!L106-PSK_AT_verzia_3_5!L94</f>
        <v>2309519</v>
      </c>
      <c r="M106" s="52">
        <f>PSK_AT_verzia_4_0!M106-PSK_AT_verzia_3_5!M94</f>
        <v>0</v>
      </c>
      <c r="N106" s="52">
        <f>PSK_AT_verzia_4_0!N106-PSK_AT_verzia_3_5!N94</f>
        <v>0</v>
      </c>
      <c r="O106" s="52">
        <f>PSK_AT_verzia_4_0!O106-PSK_AT_verzia_3_5!O94</f>
        <v>0</v>
      </c>
      <c r="P106" s="52">
        <f>PSK_AT_verzia_4_0!P106-PSK_AT_verzia_3_5!P94</f>
        <v>0</v>
      </c>
      <c r="Q106" s="52">
        <f>PSK_AT_verzia_4_0!Q106-PSK_AT_verzia_3_5!Q94</f>
        <v>0</v>
      </c>
    </row>
    <row r="107" spans="1:22" s="55" customFormat="1" ht="28" customHeight="1" x14ac:dyDescent="0.35">
      <c r="A107" s="262" t="s">
        <v>104</v>
      </c>
      <c r="B107" s="251" t="s">
        <v>105</v>
      </c>
      <c r="C107" s="57">
        <f>PSK_AT_verzia_4_0!C107-PSK_AT_verzia_3_5!C95</f>
        <v>0</v>
      </c>
      <c r="D107" s="57">
        <f>PSK_AT_verzia_4_0!D107-PSK_AT_verzia_3_5!D95</f>
        <v>0</v>
      </c>
      <c r="E107" s="57">
        <f>PSK_AT_verzia_4_0!E107-PSK_AT_verzia_3_5!E95</f>
        <v>0</v>
      </c>
      <c r="F107" s="59" t="s">
        <v>106</v>
      </c>
      <c r="G107" s="58">
        <f>PSK_AT_verzia_4_0!G107-PSK_AT_verzia_3_5!G95</f>
        <v>0</v>
      </c>
      <c r="H107" s="58">
        <f>PSK_AT_verzia_4_0!H107-PSK_AT_verzia_3_5!H95</f>
        <v>0</v>
      </c>
      <c r="I107" s="58">
        <f>PSK_AT_verzia_4_0!I107-PSK_AT_verzia_3_5!I95</f>
        <v>0</v>
      </c>
      <c r="J107" s="58">
        <f>PSK_AT_verzia_4_0!J107-PSK_AT_verzia_3_5!J95</f>
        <v>0</v>
      </c>
      <c r="K107" s="58">
        <f>PSK_AT_verzia_4_0!K107-PSK_AT_verzia_3_5!K95</f>
        <v>0</v>
      </c>
      <c r="L107" s="58">
        <f>PSK_AT_verzia_4_0!L107-PSK_AT_verzia_3_5!L95</f>
        <v>0</v>
      </c>
      <c r="M107" s="58">
        <f>PSK_AT_verzia_4_0!M107-PSK_AT_verzia_3_5!M95</f>
        <v>0</v>
      </c>
      <c r="N107" s="58">
        <f>PSK_AT_verzia_4_0!N107-PSK_AT_verzia_3_5!N95</f>
        <v>0</v>
      </c>
      <c r="O107" s="58">
        <f>PSK_AT_verzia_4_0!O107-PSK_AT_verzia_3_5!O95</f>
        <v>0</v>
      </c>
      <c r="P107" s="58">
        <f>PSK_AT_verzia_4_0!P107-PSK_AT_verzia_3_5!P95</f>
        <v>0</v>
      </c>
      <c r="Q107" s="58">
        <f>PSK_AT_verzia_4_0!Q107-PSK_AT_verzia_3_5!Q95</f>
        <v>0</v>
      </c>
    </row>
    <row r="108" spans="1:22" ht="28" customHeight="1" x14ac:dyDescent="0.35">
      <c r="A108" s="262"/>
      <c r="B108" s="251"/>
      <c r="C108" s="60">
        <f>PSK_AT_verzia_4_0!C108-PSK_AT_verzia_3_5!C96</f>
        <v>0</v>
      </c>
      <c r="D108" s="60">
        <f>PSK_AT_verzia_4_0!D108-PSK_AT_verzia_3_5!D96</f>
        <v>0</v>
      </c>
      <c r="E108" s="72">
        <f>PSK_AT_verzia_4_0!E108-PSK_AT_verzia_3_5!E96</f>
        <v>0</v>
      </c>
      <c r="F108" s="61" t="s">
        <v>107</v>
      </c>
      <c r="G108" s="60">
        <f>PSK_AT_verzia_4_0!G108-PSK_AT_verzia_3_5!G96</f>
        <v>0</v>
      </c>
      <c r="H108" s="60">
        <f>PSK_AT_verzia_4_0!H108-PSK_AT_verzia_3_5!H96</f>
        <v>0</v>
      </c>
      <c r="I108" s="60">
        <f>PSK_AT_verzia_4_0!I108-PSK_AT_verzia_3_5!I96</f>
        <v>0</v>
      </c>
      <c r="J108" s="60">
        <f>PSK_AT_verzia_4_0!J108-PSK_AT_verzia_3_5!J96</f>
        <v>0</v>
      </c>
      <c r="K108" s="60">
        <f>PSK_AT_verzia_4_0!K108-PSK_AT_verzia_3_5!K96</f>
        <v>0</v>
      </c>
      <c r="L108" s="60">
        <f>PSK_AT_verzia_4_0!L108-PSK_AT_verzia_3_5!L96</f>
        <v>0</v>
      </c>
      <c r="M108" s="60">
        <f>PSK_AT_verzia_4_0!M108-PSK_AT_verzia_3_5!M96</f>
        <v>0</v>
      </c>
      <c r="N108" s="60">
        <f>PSK_AT_verzia_4_0!N108-PSK_AT_verzia_3_5!N96</f>
        <v>0</v>
      </c>
      <c r="O108" s="60">
        <f>PSK_AT_verzia_4_0!O108-PSK_AT_verzia_3_5!O96</f>
        <v>0</v>
      </c>
      <c r="P108" s="60">
        <f>PSK_AT_verzia_4_0!P108-PSK_AT_verzia_3_5!P96</f>
        <v>0</v>
      </c>
      <c r="Q108" s="60">
        <f>PSK_AT_verzia_4_0!Q108-PSK_AT_verzia_3_5!Q96</f>
        <v>0</v>
      </c>
      <c r="R108" s="89"/>
      <c r="S108" s="89"/>
      <c r="T108" s="89"/>
      <c r="U108" s="89"/>
      <c r="V108" s="89"/>
    </row>
    <row r="109" spans="1:22" ht="28" customHeight="1" x14ac:dyDescent="0.35">
      <c r="A109" s="262"/>
      <c r="B109" s="251"/>
      <c r="C109" s="200">
        <f>PSK_AT_verzia_4_0!C109-PSK_AT_verzia_3_5!C97</f>
        <v>0</v>
      </c>
      <c r="D109" s="200">
        <f>PSK_AT_verzia_4_0!D109-PSK_AT_verzia_3_5!D97</f>
        <v>0</v>
      </c>
      <c r="E109" s="200">
        <f>PSK_AT_verzia_4_0!E109-PSK_AT_verzia_3_5!E97</f>
        <v>0</v>
      </c>
      <c r="F109" s="66" t="s">
        <v>108</v>
      </c>
      <c r="G109" s="67">
        <f>PSK_AT_verzia_4_0!G109-PSK_AT_verzia_3_5!G97</f>
        <v>0</v>
      </c>
      <c r="H109" s="67">
        <f>PSK_AT_verzia_4_0!H109-PSK_AT_verzia_3_5!H97</f>
        <v>0</v>
      </c>
      <c r="I109" s="67">
        <f>PSK_AT_verzia_4_0!I109-PSK_AT_verzia_3_5!I97</f>
        <v>0</v>
      </c>
      <c r="J109" s="67">
        <f>PSK_AT_verzia_4_0!J109-PSK_AT_verzia_3_5!J97</f>
        <v>0</v>
      </c>
      <c r="K109" s="67">
        <f>PSK_AT_verzia_4_0!K109-PSK_AT_verzia_3_5!K97</f>
        <v>0</v>
      </c>
      <c r="L109" s="67">
        <f>PSK_AT_verzia_4_0!L109-PSK_AT_verzia_3_5!L97</f>
        <v>0</v>
      </c>
      <c r="M109" s="67">
        <f>PSK_AT_verzia_4_0!M109-PSK_AT_verzia_3_5!M97</f>
        <v>0</v>
      </c>
      <c r="N109" s="67">
        <f>PSK_AT_verzia_4_0!N109-PSK_AT_verzia_3_5!N97</f>
        <v>0</v>
      </c>
      <c r="O109" s="67">
        <f>PSK_AT_verzia_4_0!O109-PSK_AT_verzia_3_5!O97</f>
        <v>0</v>
      </c>
      <c r="P109" s="67">
        <f>PSK_AT_verzia_4_0!P109-PSK_AT_verzia_3_5!P97</f>
        <v>0</v>
      </c>
      <c r="Q109" s="67">
        <f>PSK_AT_verzia_4_0!Q109-PSK_AT_verzia_3_5!Q97</f>
        <v>0</v>
      </c>
      <c r="R109" s="89"/>
      <c r="S109" s="89"/>
      <c r="T109" s="89"/>
      <c r="U109" s="89"/>
      <c r="V109" s="89"/>
    </row>
    <row r="110" spans="1:22" ht="28" customHeight="1" x14ac:dyDescent="0.35">
      <c r="A110" s="262"/>
      <c r="B110" s="251"/>
      <c r="C110" s="200">
        <f>PSK_AT_verzia_4_0!C110-PSK_AT_verzia_3_5!C98</f>
        <v>0</v>
      </c>
      <c r="D110" s="200">
        <f>PSK_AT_verzia_4_0!D110-PSK_AT_verzia_3_5!D98</f>
        <v>0</v>
      </c>
      <c r="E110" s="200">
        <f>PSK_AT_verzia_4_0!E110-PSK_AT_verzia_3_5!E98</f>
        <v>0</v>
      </c>
      <c r="F110" s="66" t="s">
        <v>109</v>
      </c>
      <c r="G110" s="74">
        <f>PSK_AT_verzia_4_0!G110-PSK_AT_verzia_3_5!G98</f>
        <v>0</v>
      </c>
      <c r="H110" s="74">
        <f>PSK_AT_verzia_4_0!H110-PSK_AT_verzia_3_5!H98</f>
        <v>0</v>
      </c>
      <c r="I110" s="74">
        <f>PSK_AT_verzia_4_0!I110-PSK_AT_verzia_3_5!I98</f>
        <v>0</v>
      </c>
      <c r="J110" s="74">
        <f>PSK_AT_verzia_4_0!J110-PSK_AT_verzia_3_5!J98</f>
        <v>0</v>
      </c>
      <c r="K110" s="74">
        <f>PSK_AT_verzia_4_0!K110-PSK_AT_verzia_3_5!K98</f>
        <v>0</v>
      </c>
      <c r="L110" s="74">
        <f>PSK_AT_verzia_4_0!L110-PSK_AT_verzia_3_5!L98</f>
        <v>0</v>
      </c>
      <c r="M110" s="74">
        <f>PSK_AT_verzia_4_0!M110-PSK_AT_verzia_3_5!M98</f>
        <v>0</v>
      </c>
      <c r="N110" s="74">
        <f>PSK_AT_verzia_4_0!N110-PSK_AT_verzia_3_5!N98</f>
        <v>0</v>
      </c>
      <c r="O110" s="74">
        <f>PSK_AT_verzia_4_0!O110-PSK_AT_verzia_3_5!O98</f>
        <v>0</v>
      </c>
      <c r="P110" s="74">
        <f>PSK_AT_verzia_4_0!P110-PSK_AT_verzia_3_5!P98</f>
        <v>0</v>
      </c>
      <c r="Q110" s="74">
        <f>PSK_AT_verzia_4_0!Q110-PSK_AT_verzia_3_5!Q98</f>
        <v>0</v>
      </c>
      <c r="R110" s="89"/>
      <c r="S110" s="89"/>
      <c r="T110" s="89"/>
      <c r="U110" s="89"/>
      <c r="V110" s="89"/>
    </row>
    <row r="111" spans="1:22" ht="28" customHeight="1" x14ac:dyDescent="0.35">
      <c r="A111" s="262" t="s">
        <v>110</v>
      </c>
      <c r="B111" s="251" t="s">
        <v>111</v>
      </c>
      <c r="C111" s="57">
        <f>PSK_AT_verzia_4_0!C111-PSK_AT_verzia_3_5!C99</f>
        <v>27452430</v>
      </c>
      <c r="D111" s="57">
        <f>PSK_AT_verzia_4_0!D111-PSK_AT_verzia_3_5!D99</f>
        <v>0</v>
      </c>
      <c r="E111" s="57">
        <f>PSK_AT_verzia_4_0!E111-PSK_AT_verzia_3_5!E99</f>
        <v>0</v>
      </c>
      <c r="F111" s="59" t="s">
        <v>112</v>
      </c>
      <c r="G111" s="58">
        <f>PSK_AT_verzia_4_0!G111-PSK_AT_verzia_3_5!G99</f>
        <v>27452430</v>
      </c>
      <c r="H111" s="58">
        <f>PSK_AT_verzia_4_0!H111-PSK_AT_verzia_3_5!H99</f>
        <v>26729401</v>
      </c>
      <c r="I111" s="58">
        <f>PSK_AT_verzia_4_0!I111-PSK_AT_verzia_3_5!I99</f>
        <v>723029</v>
      </c>
      <c r="J111" s="58">
        <f>PSK_AT_verzia_4_0!J111-PSK_AT_verzia_3_5!J99</f>
        <v>27452430</v>
      </c>
      <c r="K111" s="58">
        <f>PSK_AT_verzia_4_0!K111-PSK_AT_verzia_3_5!K99</f>
        <v>26729401</v>
      </c>
      <c r="L111" s="58">
        <f>PSK_AT_verzia_4_0!L111-PSK_AT_verzia_3_5!L99</f>
        <v>723029</v>
      </c>
      <c r="M111" s="58">
        <f>PSK_AT_verzia_4_0!M111-PSK_AT_verzia_3_5!M99</f>
        <v>0</v>
      </c>
      <c r="N111" s="58">
        <f>PSK_AT_verzia_4_0!N111-PSK_AT_verzia_3_5!N99</f>
        <v>0</v>
      </c>
      <c r="O111" s="58">
        <f>PSK_AT_verzia_4_0!O111-PSK_AT_verzia_3_5!O99</f>
        <v>0</v>
      </c>
      <c r="P111" s="58">
        <f>PSK_AT_verzia_4_0!P111-PSK_AT_verzia_3_5!P99</f>
        <v>0</v>
      </c>
      <c r="Q111" s="58">
        <f>PSK_AT_verzia_4_0!Q111-PSK_AT_verzia_3_5!Q99</f>
        <v>0</v>
      </c>
      <c r="R111" s="89"/>
      <c r="S111" s="89"/>
      <c r="T111" s="89"/>
      <c r="U111" s="89"/>
      <c r="V111" s="89"/>
    </row>
    <row r="112" spans="1:22" s="62" customFormat="1" ht="28" customHeight="1" x14ac:dyDescent="0.35">
      <c r="A112" s="262"/>
      <c r="B112" s="251"/>
      <c r="C112" s="99">
        <f>PSK_AT_verzia_4_0!C112-PSK_AT_verzia_3_5!C100</f>
        <v>27452430</v>
      </c>
      <c r="D112" s="60">
        <f>PSK_AT_verzia_4_0!D112-PSK_AT_verzia_3_5!D100</f>
        <v>0</v>
      </c>
      <c r="E112" s="72">
        <f>PSK_AT_verzia_4_0!E112-PSK_AT_verzia_3_5!E100</f>
        <v>0</v>
      </c>
      <c r="F112" s="61" t="s">
        <v>107</v>
      </c>
      <c r="G112" s="60">
        <f>PSK_AT_verzia_4_0!G112-PSK_AT_verzia_3_5!G100</f>
        <v>27452430</v>
      </c>
      <c r="H112" s="60">
        <f>PSK_AT_verzia_4_0!H112-PSK_AT_verzia_3_5!H100</f>
        <v>26729401</v>
      </c>
      <c r="I112" s="60">
        <f>PSK_AT_verzia_4_0!I112-PSK_AT_verzia_3_5!I100</f>
        <v>723029</v>
      </c>
      <c r="J112" s="60">
        <f>PSK_AT_verzia_4_0!J112-PSK_AT_verzia_3_5!J100</f>
        <v>27452430</v>
      </c>
      <c r="K112" s="60">
        <f>PSK_AT_verzia_4_0!K112-PSK_AT_verzia_3_5!K100</f>
        <v>26729401</v>
      </c>
      <c r="L112" s="60">
        <f>PSK_AT_verzia_4_0!L112-PSK_AT_verzia_3_5!L100</f>
        <v>723029</v>
      </c>
      <c r="M112" s="60">
        <f>PSK_AT_verzia_4_0!M112-PSK_AT_verzia_3_5!M100</f>
        <v>0</v>
      </c>
      <c r="N112" s="60">
        <f>PSK_AT_verzia_4_0!N112-PSK_AT_verzia_3_5!N100</f>
        <v>0</v>
      </c>
      <c r="O112" s="60">
        <f>PSK_AT_verzia_4_0!O112-PSK_AT_verzia_3_5!O100</f>
        <v>0</v>
      </c>
      <c r="P112" s="60">
        <f>PSK_AT_verzia_4_0!P112-PSK_AT_verzia_3_5!P100</f>
        <v>0</v>
      </c>
      <c r="Q112" s="60">
        <f>PSK_AT_verzia_4_0!Q112-PSK_AT_verzia_3_5!Q100</f>
        <v>0</v>
      </c>
      <c r="R112" s="92"/>
      <c r="S112" s="92"/>
      <c r="T112" s="92"/>
      <c r="U112" s="92"/>
      <c r="V112" s="92"/>
    </row>
    <row r="113" spans="1:22" s="62" customFormat="1" ht="28" customHeight="1" x14ac:dyDescent="0.35">
      <c r="A113" s="262"/>
      <c r="B113" s="251"/>
      <c r="C113" s="200">
        <f>PSK_AT_verzia_4_0!C113-PSK_AT_verzia_3_5!C101</f>
        <v>0</v>
      </c>
      <c r="D113" s="200">
        <f>PSK_AT_verzia_4_0!D113-PSK_AT_verzia_3_5!D101</f>
        <v>0</v>
      </c>
      <c r="E113" s="200">
        <f>PSK_AT_verzia_4_0!E113-PSK_AT_verzia_3_5!E101</f>
        <v>0</v>
      </c>
      <c r="F113" s="66" t="s">
        <v>108</v>
      </c>
      <c r="G113" s="67">
        <f>PSK_AT_verzia_4_0!G113-PSK_AT_verzia_3_5!G101</f>
        <v>0</v>
      </c>
      <c r="H113" s="67">
        <f>PSK_AT_verzia_4_0!H113-PSK_AT_verzia_3_5!H101</f>
        <v>0</v>
      </c>
      <c r="I113" s="67">
        <f>PSK_AT_verzia_4_0!I113-PSK_AT_verzia_3_5!I101</f>
        <v>0</v>
      </c>
      <c r="J113" s="67">
        <f>PSK_AT_verzia_4_0!J113-PSK_AT_verzia_3_5!J101</f>
        <v>0</v>
      </c>
      <c r="K113" s="67">
        <f>PSK_AT_verzia_4_0!K113-PSK_AT_verzia_3_5!K101</f>
        <v>0</v>
      </c>
      <c r="L113" s="67">
        <f>PSK_AT_verzia_4_0!L113-PSK_AT_verzia_3_5!L101</f>
        <v>0</v>
      </c>
      <c r="M113" s="67">
        <f>PSK_AT_verzia_4_0!M113-PSK_AT_verzia_3_5!M101</f>
        <v>0</v>
      </c>
      <c r="N113" s="67">
        <f>PSK_AT_verzia_4_0!N113-PSK_AT_verzia_3_5!N101</f>
        <v>0</v>
      </c>
      <c r="O113" s="67">
        <f>PSK_AT_verzia_4_0!O113-PSK_AT_verzia_3_5!O101</f>
        <v>0</v>
      </c>
      <c r="P113" s="67">
        <f>PSK_AT_verzia_4_0!P113-PSK_AT_verzia_3_5!P101</f>
        <v>0</v>
      </c>
      <c r="Q113" s="67">
        <f>PSK_AT_verzia_4_0!Q113-PSK_AT_verzia_3_5!Q101</f>
        <v>0</v>
      </c>
      <c r="R113" s="92"/>
      <c r="S113" s="92"/>
      <c r="T113" s="92"/>
      <c r="U113" s="92"/>
      <c r="V113" s="92"/>
    </row>
    <row r="114" spans="1:22" s="62" customFormat="1" ht="28" customHeight="1" x14ac:dyDescent="0.35">
      <c r="A114" s="262"/>
      <c r="B114" s="251"/>
      <c r="C114" s="200">
        <f>PSK_AT_verzia_4_0!C114-PSK_AT_verzia_3_5!C102</f>
        <v>0</v>
      </c>
      <c r="D114" s="200">
        <f>PSK_AT_verzia_4_0!D114-PSK_AT_verzia_3_5!D102</f>
        <v>0</v>
      </c>
      <c r="E114" s="200">
        <f>PSK_AT_verzia_4_0!E114-PSK_AT_verzia_3_5!E102</f>
        <v>0</v>
      </c>
      <c r="F114" s="66" t="s">
        <v>113</v>
      </c>
      <c r="G114" s="71">
        <f>PSK_AT_verzia_4_0!G114-PSK_AT_verzia_3_5!G102</f>
        <v>17971728</v>
      </c>
      <c r="H114" s="71">
        <f>PSK_AT_verzia_4_0!H114-PSK_AT_verzia_3_5!H102</f>
        <v>17971728</v>
      </c>
      <c r="I114" s="71">
        <f>PSK_AT_verzia_4_0!I114-PSK_AT_verzia_3_5!I102</f>
        <v>0</v>
      </c>
      <c r="J114" s="71">
        <f>PSK_AT_verzia_4_0!J114-PSK_AT_verzia_3_5!J102</f>
        <v>17971728</v>
      </c>
      <c r="K114" s="71">
        <f>PSK_AT_verzia_4_0!K114-PSK_AT_verzia_3_5!K102</f>
        <v>17971728</v>
      </c>
      <c r="L114" s="71">
        <f>PSK_AT_verzia_4_0!L114-PSK_AT_verzia_3_5!L102</f>
        <v>0</v>
      </c>
      <c r="M114" s="71">
        <f>PSK_AT_verzia_4_0!M114-PSK_AT_verzia_3_5!M102</f>
        <v>0</v>
      </c>
      <c r="N114" s="71">
        <f>PSK_AT_verzia_4_0!N114-PSK_AT_verzia_3_5!N102</f>
        <v>0</v>
      </c>
      <c r="O114" s="71">
        <f>PSK_AT_verzia_4_0!O114-PSK_AT_verzia_3_5!O102</f>
        <v>0</v>
      </c>
      <c r="P114" s="71">
        <f>PSK_AT_verzia_4_0!P114-PSK_AT_verzia_3_5!P102</f>
        <v>0</v>
      </c>
      <c r="Q114" s="71">
        <f>PSK_AT_verzia_4_0!Q114-PSK_AT_verzia_3_5!Q102</f>
        <v>0</v>
      </c>
      <c r="R114" s="92"/>
      <c r="S114" s="92"/>
      <c r="T114" s="92"/>
      <c r="U114" s="92"/>
      <c r="V114" s="92"/>
    </row>
    <row r="115" spans="1:22" s="62" customFormat="1" ht="28" customHeight="1" x14ac:dyDescent="0.35">
      <c r="A115" s="262"/>
      <c r="B115" s="251"/>
      <c r="C115" s="200">
        <f>PSK_AT_verzia_4_0!C115-PSK_AT_verzia_3_5!C103</f>
        <v>0</v>
      </c>
      <c r="D115" s="200">
        <f>PSK_AT_verzia_4_0!D115-PSK_AT_verzia_3_5!D103</f>
        <v>0</v>
      </c>
      <c r="E115" s="200">
        <f>PSK_AT_verzia_4_0!E115-PSK_AT_verzia_3_5!E103</f>
        <v>0</v>
      </c>
      <c r="F115" s="66" t="s">
        <v>114</v>
      </c>
      <c r="G115" s="71">
        <f>PSK_AT_verzia_4_0!G115-PSK_AT_verzia_3_5!G103</f>
        <v>9480702</v>
      </c>
      <c r="H115" s="71">
        <f>PSK_AT_verzia_4_0!H115-PSK_AT_verzia_3_5!H103</f>
        <v>8757673</v>
      </c>
      <c r="I115" s="71">
        <f>PSK_AT_verzia_4_0!I115-PSK_AT_verzia_3_5!I103</f>
        <v>723029</v>
      </c>
      <c r="J115" s="71">
        <f>PSK_AT_verzia_4_0!J115-PSK_AT_verzia_3_5!J103</f>
        <v>9480702</v>
      </c>
      <c r="K115" s="71">
        <f>PSK_AT_verzia_4_0!K115-PSK_AT_verzia_3_5!K103</f>
        <v>8757673</v>
      </c>
      <c r="L115" s="71">
        <f>PSK_AT_verzia_4_0!L115-PSK_AT_verzia_3_5!L103</f>
        <v>723029</v>
      </c>
      <c r="M115" s="71">
        <f>PSK_AT_verzia_4_0!M115-PSK_AT_verzia_3_5!M103</f>
        <v>0</v>
      </c>
      <c r="N115" s="71">
        <f>PSK_AT_verzia_4_0!N115-PSK_AT_verzia_3_5!N103</f>
        <v>0</v>
      </c>
      <c r="O115" s="71">
        <f>PSK_AT_verzia_4_0!O115-PSK_AT_verzia_3_5!O103</f>
        <v>0</v>
      </c>
      <c r="P115" s="71">
        <f>PSK_AT_verzia_4_0!P115-PSK_AT_verzia_3_5!P103</f>
        <v>0</v>
      </c>
      <c r="Q115" s="71">
        <f>PSK_AT_verzia_4_0!Q115-PSK_AT_verzia_3_5!Q103</f>
        <v>0</v>
      </c>
      <c r="R115" s="92"/>
      <c r="S115" s="92"/>
      <c r="T115" s="92"/>
      <c r="U115" s="92"/>
      <c r="V115" s="92"/>
    </row>
    <row r="116" spans="1:22" s="62" customFormat="1" ht="28" customHeight="1" x14ac:dyDescent="0.35">
      <c r="A116" s="262"/>
      <c r="B116" s="251"/>
      <c r="C116" s="200">
        <f>PSK_AT_verzia_4_0!C116-PSK_AT_verzia_3_5!C104</f>
        <v>0</v>
      </c>
      <c r="D116" s="200">
        <f>PSK_AT_verzia_4_0!D116-PSK_AT_verzia_3_5!D104</f>
        <v>0</v>
      </c>
      <c r="E116" s="200">
        <f>PSK_AT_verzia_4_0!E116-PSK_AT_verzia_3_5!E104</f>
        <v>0</v>
      </c>
      <c r="F116" s="66" t="s">
        <v>109</v>
      </c>
      <c r="G116" s="74">
        <f>PSK_AT_verzia_4_0!G116-PSK_AT_verzia_3_5!G104</f>
        <v>0</v>
      </c>
      <c r="H116" s="74">
        <f>PSK_AT_verzia_4_0!H116-PSK_AT_verzia_3_5!H104</f>
        <v>0</v>
      </c>
      <c r="I116" s="74">
        <f>PSK_AT_verzia_4_0!I116-PSK_AT_verzia_3_5!I104</f>
        <v>0</v>
      </c>
      <c r="J116" s="74">
        <f>PSK_AT_verzia_4_0!J116-PSK_AT_verzia_3_5!J104</f>
        <v>0</v>
      </c>
      <c r="K116" s="74">
        <f>PSK_AT_verzia_4_0!K116-PSK_AT_verzia_3_5!K104</f>
        <v>0</v>
      </c>
      <c r="L116" s="74">
        <f>PSK_AT_verzia_4_0!L116-PSK_AT_verzia_3_5!L104</f>
        <v>0</v>
      </c>
      <c r="M116" s="74">
        <f>PSK_AT_verzia_4_0!M116-PSK_AT_verzia_3_5!M104</f>
        <v>0</v>
      </c>
      <c r="N116" s="74">
        <f>PSK_AT_verzia_4_0!N116-PSK_AT_verzia_3_5!N104</f>
        <v>0</v>
      </c>
      <c r="O116" s="74">
        <f>PSK_AT_verzia_4_0!O116-PSK_AT_verzia_3_5!O104</f>
        <v>0</v>
      </c>
      <c r="P116" s="74">
        <f>PSK_AT_verzia_4_0!P116-PSK_AT_verzia_3_5!P104</f>
        <v>0</v>
      </c>
      <c r="Q116" s="74">
        <f>PSK_AT_verzia_4_0!Q116-PSK_AT_verzia_3_5!Q104</f>
        <v>0</v>
      </c>
      <c r="R116" s="92"/>
      <c r="S116" s="92"/>
      <c r="T116" s="92"/>
      <c r="U116" s="92"/>
      <c r="V116" s="92"/>
    </row>
    <row r="117" spans="1:22" s="62" customFormat="1" ht="28" customHeight="1" x14ac:dyDescent="0.35">
      <c r="A117" s="262"/>
      <c r="B117" s="251"/>
      <c r="C117" s="60">
        <f>PSK_AT_verzia_4_0!C117-PSK_AT_verzia_3_5!C105</f>
        <v>0</v>
      </c>
      <c r="D117" s="60">
        <f>PSK_AT_verzia_4_0!D117-PSK_AT_verzia_3_5!D105</f>
        <v>0</v>
      </c>
      <c r="E117" s="72">
        <f>PSK_AT_verzia_4_0!E117-PSK_AT_verzia_3_5!E105</f>
        <v>0</v>
      </c>
      <c r="F117" s="61" t="s">
        <v>115</v>
      </c>
      <c r="G117" s="60">
        <f>PSK_AT_verzia_4_0!G117-PSK_AT_verzia_3_5!G105</f>
        <v>0</v>
      </c>
      <c r="H117" s="60">
        <f>PSK_AT_verzia_4_0!H117-PSK_AT_verzia_3_5!H105</f>
        <v>0</v>
      </c>
      <c r="I117" s="60">
        <f>PSK_AT_verzia_4_0!I117-PSK_AT_verzia_3_5!I105</f>
        <v>0</v>
      </c>
      <c r="J117" s="60">
        <f>PSK_AT_verzia_4_0!J117-PSK_AT_verzia_3_5!J105</f>
        <v>0</v>
      </c>
      <c r="K117" s="60">
        <f>PSK_AT_verzia_4_0!K117-PSK_AT_verzia_3_5!K105</f>
        <v>0</v>
      </c>
      <c r="L117" s="60">
        <f>PSK_AT_verzia_4_0!L117-PSK_AT_verzia_3_5!L105</f>
        <v>0</v>
      </c>
      <c r="M117" s="60">
        <f>PSK_AT_verzia_4_0!M117-PSK_AT_verzia_3_5!M105</f>
        <v>0</v>
      </c>
      <c r="N117" s="60">
        <f>PSK_AT_verzia_4_0!N117-PSK_AT_verzia_3_5!N105</f>
        <v>0</v>
      </c>
      <c r="O117" s="60">
        <f>PSK_AT_verzia_4_0!O117-PSK_AT_verzia_3_5!O105</f>
        <v>0</v>
      </c>
      <c r="P117" s="60">
        <f>PSK_AT_verzia_4_0!P117-PSK_AT_verzia_3_5!P105</f>
        <v>0</v>
      </c>
      <c r="Q117" s="60">
        <f>PSK_AT_verzia_4_0!Q117-PSK_AT_verzia_3_5!Q105</f>
        <v>0</v>
      </c>
      <c r="R117" s="92"/>
      <c r="S117" s="92"/>
      <c r="T117" s="92"/>
      <c r="U117" s="92"/>
      <c r="V117" s="92"/>
    </row>
    <row r="118" spans="1:22" s="62" customFormat="1" ht="28" customHeight="1" x14ac:dyDescent="0.35">
      <c r="A118" s="262"/>
      <c r="B118" s="251"/>
      <c r="C118" s="200">
        <f>PSK_AT_verzia_4_0!C118-PSK_AT_verzia_3_5!C106</f>
        <v>0</v>
      </c>
      <c r="D118" s="200">
        <f>PSK_AT_verzia_4_0!D118-PSK_AT_verzia_3_5!D106</f>
        <v>0</v>
      </c>
      <c r="E118" s="200">
        <f>PSK_AT_verzia_4_0!E118-PSK_AT_verzia_3_5!E106</f>
        <v>0</v>
      </c>
      <c r="F118" s="66" t="s">
        <v>116</v>
      </c>
      <c r="G118" s="67">
        <f>PSK_AT_verzia_4_0!G118-PSK_AT_verzia_3_5!G106</f>
        <v>0</v>
      </c>
      <c r="H118" s="67">
        <f>PSK_AT_verzia_4_0!H118-PSK_AT_verzia_3_5!H106</f>
        <v>0</v>
      </c>
      <c r="I118" s="67">
        <f>PSK_AT_verzia_4_0!I118-PSK_AT_verzia_3_5!I106</f>
        <v>0</v>
      </c>
      <c r="J118" s="67">
        <f>PSK_AT_verzia_4_0!J118-PSK_AT_verzia_3_5!J106</f>
        <v>0</v>
      </c>
      <c r="K118" s="67">
        <f>PSK_AT_verzia_4_0!K118-PSK_AT_verzia_3_5!K106</f>
        <v>0</v>
      </c>
      <c r="L118" s="67">
        <f>PSK_AT_verzia_4_0!L118-PSK_AT_verzia_3_5!L106</f>
        <v>0</v>
      </c>
      <c r="M118" s="67">
        <f>PSK_AT_verzia_4_0!M118-PSK_AT_verzia_3_5!M106</f>
        <v>0</v>
      </c>
      <c r="N118" s="67">
        <f>PSK_AT_verzia_4_0!N118-PSK_AT_verzia_3_5!N106</f>
        <v>0</v>
      </c>
      <c r="O118" s="67">
        <f>PSK_AT_verzia_4_0!O118-PSK_AT_verzia_3_5!O106</f>
        <v>0</v>
      </c>
      <c r="P118" s="67">
        <f>PSK_AT_verzia_4_0!P118-PSK_AT_verzia_3_5!P106</f>
        <v>0</v>
      </c>
      <c r="Q118" s="67">
        <f>PSK_AT_verzia_4_0!Q118-PSK_AT_verzia_3_5!Q106</f>
        <v>0</v>
      </c>
      <c r="R118" s="92"/>
      <c r="S118" s="92"/>
      <c r="T118" s="92"/>
      <c r="U118" s="92"/>
      <c r="V118" s="92"/>
    </row>
    <row r="119" spans="1:22" s="62" customFormat="1" ht="28" customHeight="1" x14ac:dyDescent="0.35">
      <c r="A119" s="262"/>
      <c r="B119" s="251"/>
      <c r="C119" s="200">
        <f>PSK_AT_verzia_4_0!C119-PSK_AT_verzia_3_5!C107</f>
        <v>0</v>
      </c>
      <c r="D119" s="200">
        <f>PSK_AT_verzia_4_0!D119-PSK_AT_verzia_3_5!D107</f>
        <v>0</v>
      </c>
      <c r="E119" s="200">
        <f>PSK_AT_verzia_4_0!E119-PSK_AT_verzia_3_5!E107</f>
        <v>0</v>
      </c>
      <c r="F119" s="66" t="s">
        <v>117</v>
      </c>
      <c r="G119" s="74">
        <f>PSK_AT_verzia_4_0!G119-PSK_AT_verzia_3_5!G107</f>
        <v>0</v>
      </c>
      <c r="H119" s="74">
        <f>PSK_AT_verzia_4_0!H119-PSK_AT_verzia_3_5!H107</f>
        <v>0</v>
      </c>
      <c r="I119" s="74">
        <f>PSK_AT_verzia_4_0!I119-PSK_AT_verzia_3_5!I107</f>
        <v>0</v>
      </c>
      <c r="J119" s="74">
        <f>PSK_AT_verzia_4_0!J119-PSK_AT_verzia_3_5!J107</f>
        <v>0</v>
      </c>
      <c r="K119" s="74">
        <f>PSK_AT_verzia_4_0!K119-PSK_AT_verzia_3_5!K107</f>
        <v>0</v>
      </c>
      <c r="L119" s="74">
        <f>PSK_AT_verzia_4_0!L119-PSK_AT_verzia_3_5!L107</f>
        <v>0</v>
      </c>
      <c r="M119" s="74">
        <f>PSK_AT_verzia_4_0!M119-PSK_AT_verzia_3_5!M107</f>
        <v>0</v>
      </c>
      <c r="N119" s="74">
        <f>PSK_AT_verzia_4_0!N119-PSK_AT_verzia_3_5!N107</f>
        <v>0</v>
      </c>
      <c r="O119" s="74">
        <f>PSK_AT_verzia_4_0!O119-PSK_AT_verzia_3_5!O107</f>
        <v>0</v>
      </c>
      <c r="P119" s="74">
        <f>PSK_AT_verzia_4_0!P119-PSK_AT_verzia_3_5!P107</f>
        <v>0</v>
      </c>
      <c r="Q119" s="74">
        <f>PSK_AT_verzia_4_0!Q119-PSK_AT_verzia_3_5!Q107</f>
        <v>0</v>
      </c>
      <c r="R119" s="92"/>
      <c r="S119" s="92"/>
      <c r="T119" s="92"/>
      <c r="U119" s="92"/>
      <c r="V119" s="92"/>
    </row>
    <row r="120" spans="1:22" s="62" customFormat="1" ht="28" customHeight="1" x14ac:dyDescent="0.35">
      <c r="A120" s="262" t="s">
        <v>118</v>
      </c>
      <c r="B120" s="251" t="s">
        <v>119</v>
      </c>
      <c r="C120" s="57">
        <f>PSK_AT_verzia_4_0!C120-PSK_AT_verzia_3_5!C108</f>
        <v>0</v>
      </c>
      <c r="D120" s="57">
        <f>PSK_AT_verzia_4_0!D120-PSK_AT_verzia_3_5!D108</f>
        <v>0</v>
      </c>
      <c r="E120" s="57">
        <f>PSK_AT_verzia_4_0!E120-PSK_AT_verzia_3_5!E108</f>
        <v>0</v>
      </c>
      <c r="F120" s="59" t="s">
        <v>120</v>
      </c>
      <c r="G120" s="58">
        <f>PSK_AT_verzia_4_0!G120-PSK_AT_verzia_3_5!G108</f>
        <v>-19336651</v>
      </c>
      <c r="H120" s="58">
        <f>PSK_AT_verzia_4_0!H120-PSK_AT_verzia_3_5!H108</f>
        <v>-17923141</v>
      </c>
      <c r="I120" s="58">
        <f>PSK_AT_verzia_4_0!I120-PSK_AT_verzia_3_5!I108</f>
        <v>-1413510</v>
      </c>
      <c r="J120" s="58">
        <f>PSK_AT_verzia_4_0!J120-PSK_AT_verzia_3_5!J108</f>
        <v>-19336651</v>
      </c>
      <c r="K120" s="58">
        <f>PSK_AT_verzia_4_0!K120-PSK_AT_verzia_3_5!K108</f>
        <v>-17923141</v>
      </c>
      <c r="L120" s="58">
        <f>PSK_AT_verzia_4_0!L120-PSK_AT_verzia_3_5!L108</f>
        <v>-1413510</v>
      </c>
      <c r="M120" s="58">
        <f>PSK_AT_verzia_4_0!M120-PSK_AT_verzia_3_5!M108</f>
        <v>0</v>
      </c>
      <c r="N120" s="58">
        <f>PSK_AT_verzia_4_0!N120-PSK_AT_verzia_3_5!N108</f>
        <v>0</v>
      </c>
      <c r="O120" s="58">
        <f>PSK_AT_verzia_4_0!O120-PSK_AT_verzia_3_5!O108</f>
        <v>0</v>
      </c>
      <c r="P120" s="58">
        <f>PSK_AT_verzia_4_0!P120-PSK_AT_verzia_3_5!P108</f>
        <v>0</v>
      </c>
      <c r="Q120" s="58">
        <f>PSK_AT_verzia_4_0!Q120-PSK_AT_verzia_3_5!Q108</f>
        <v>0</v>
      </c>
      <c r="R120" s="92"/>
      <c r="S120" s="92"/>
      <c r="T120" s="92"/>
      <c r="U120" s="92"/>
      <c r="V120" s="92"/>
    </row>
    <row r="121" spans="1:22" ht="28" customHeight="1" x14ac:dyDescent="0.35">
      <c r="A121" s="262"/>
      <c r="B121" s="251"/>
      <c r="C121" s="60">
        <f>PSK_AT_verzia_4_0!C121-PSK_AT_verzia_3_5!C109</f>
        <v>0</v>
      </c>
      <c r="D121" s="60">
        <f>PSK_AT_verzia_4_0!D121-PSK_AT_verzia_3_5!D109</f>
        <v>0</v>
      </c>
      <c r="E121" s="60">
        <f>PSK_AT_verzia_4_0!E121-PSK_AT_verzia_3_5!E109</f>
        <v>0</v>
      </c>
      <c r="F121" s="61" t="s">
        <v>107</v>
      </c>
      <c r="G121" s="60">
        <f>PSK_AT_verzia_4_0!G121-PSK_AT_verzia_3_5!G109</f>
        <v>-19336651</v>
      </c>
      <c r="H121" s="60">
        <f>PSK_AT_verzia_4_0!H121-PSK_AT_verzia_3_5!H109</f>
        <v>-17923141</v>
      </c>
      <c r="I121" s="60">
        <f>PSK_AT_verzia_4_0!I121-PSK_AT_verzia_3_5!I109</f>
        <v>-1413510</v>
      </c>
      <c r="J121" s="60">
        <f>PSK_AT_verzia_4_0!J121-PSK_AT_verzia_3_5!J109</f>
        <v>-19336651</v>
      </c>
      <c r="K121" s="60">
        <f>PSK_AT_verzia_4_0!K121-PSK_AT_verzia_3_5!K109</f>
        <v>-17923141</v>
      </c>
      <c r="L121" s="60">
        <f>PSK_AT_verzia_4_0!L121-PSK_AT_verzia_3_5!L109</f>
        <v>-1413510</v>
      </c>
      <c r="M121" s="60">
        <f>PSK_AT_verzia_4_0!M121-PSK_AT_verzia_3_5!M109</f>
        <v>0</v>
      </c>
      <c r="N121" s="60">
        <f>PSK_AT_verzia_4_0!N121-PSK_AT_verzia_3_5!N109</f>
        <v>0</v>
      </c>
      <c r="O121" s="60">
        <f>PSK_AT_verzia_4_0!O121-PSK_AT_verzia_3_5!O109</f>
        <v>0</v>
      </c>
      <c r="P121" s="60">
        <f>PSK_AT_verzia_4_0!P121-PSK_AT_verzia_3_5!P109</f>
        <v>0</v>
      </c>
      <c r="Q121" s="60">
        <f>PSK_AT_verzia_4_0!Q121-PSK_AT_verzia_3_5!Q109</f>
        <v>0</v>
      </c>
      <c r="R121" s="89"/>
      <c r="S121" s="89"/>
      <c r="T121" s="89"/>
      <c r="U121" s="89"/>
      <c r="V121" s="89"/>
    </row>
    <row r="122" spans="1:22" ht="28" customHeight="1" x14ac:dyDescent="0.35">
      <c r="A122" s="262"/>
      <c r="B122" s="251"/>
      <c r="C122" s="200">
        <f>PSK_AT_verzia_4_0!C122-PSK_AT_verzia_3_5!C110</f>
        <v>0</v>
      </c>
      <c r="D122" s="200">
        <f>PSK_AT_verzia_4_0!D122-PSK_AT_verzia_3_5!D110</f>
        <v>0</v>
      </c>
      <c r="E122" s="200">
        <f>PSK_AT_verzia_4_0!E122-PSK_AT_verzia_3_5!E110</f>
        <v>0</v>
      </c>
      <c r="F122" s="66" t="s">
        <v>108</v>
      </c>
      <c r="G122" s="67">
        <f>PSK_AT_verzia_4_0!G122-PSK_AT_verzia_3_5!G110</f>
        <v>-19336651</v>
      </c>
      <c r="H122" s="67">
        <f>PSK_AT_verzia_4_0!H122-PSK_AT_verzia_3_5!H110</f>
        <v>-17923141</v>
      </c>
      <c r="I122" s="67">
        <f>PSK_AT_verzia_4_0!I122-PSK_AT_verzia_3_5!I110</f>
        <v>-1413510</v>
      </c>
      <c r="J122" s="67">
        <f>PSK_AT_verzia_4_0!J122-PSK_AT_verzia_3_5!J110</f>
        <v>-19336651</v>
      </c>
      <c r="K122" s="67">
        <f>PSK_AT_verzia_4_0!K122-PSK_AT_verzia_3_5!K110</f>
        <v>-17923141</v>
      </c>
      <c r="L122" s="67">
        <f>PSK_AT_verzia_4_0!L122-PSK_AT_verzia_3_5!L110</f>
        <v>-1413510</v>
      </c>
      <c r="M122" s="67">
        <f>PSK_AT_verzia_4_0!M122-PSK_AT_verzia_3_5!M110</f>
        <v>0</v>
      </c>
      <c r="N122" s="67">
        <f>PSK_AT_verzia_4_0!N122-PSK_AT_verzia_3_5!N110</f>
        <v>0</v>
      </c>
      <c r="O122" s="67">
        <f>PSK_AT_verzia_4_0!O122-PSK_AT_verzia_3_5!O110</f>
        <v>0</v>
      </c>
      <c r="P122" s="67">
        <f>PSK_AT_verzia_4_0!P122-PSK_AT_verzia_3_5!P110</f>
        <v>0</v>
      </c>
      <c r="Q122" s="67">
        <f>PSK_AT_verzia_4_0!Q122-PSK_AT_verzia_3_5!Q110</f>
        <v>0</v>
      </c>
      <c r="R122" s="89"/>
      <c r="S122" s="89"/>
      <c r="T122" s="89"/>
      <c r="U122" s="89"/>
      <c r="V122" s="89"/>
    </row>
    <row r="123" spans="1:22" ht="28" customHeight="1" x14ac:dyDescent="0.35">
      <c r="A123" s="268" t="s">
        <v>839</v>
      </c>
      <c r="B123" s="253" t="s">
        <v>840</v>
      </c>
      <c r="C123" s="57">
        <f>PSK_AT_verzia_4_0!C123</f>
        <v>0</v>
      </c>
      <c r="D123" s="57">
        <f>PSK_AT_verzia_4_0!D123</f>
        <v>0</v>
      </c>
      <c r="E123" s="57">
        <f>PSK_AT_verzia_4_0!E123</f>
        <v>0</v>
      </c>
      <c r="F123" s="59" t="s">
        <v>841</v>
      </c>
      <c r="G123" s="58">
        <f>PSK_AT_verzia_4_0!G123</f>
        <v>15000000</v>
      </c>
      <c r="H123" s="58">
        <f>PSK_AT_verzia_4_0!H123</f>
        <v>12000000</v>
      </c>
      <c r="I123" s="58">
        <f>PSK_AT_verzia_4_0!I123</f>
        <v>3000000</v>
      </c>
      <c r="J123" s="58">
        <f>PSK_AT_verzia_4_0!J123</f>
        <v>15000000</v>
      </c>
      <c r="K123" s="58">
        <f>PSK_AT_verzia_4_0!K123</f>
        <v>12000000</v>
      </c>
      <c r="L123" s="58">
        <f>PSK_AT_verzia_4_0!L123</f>
        <v>3000000</v>
      </c>
      <c r="M123" s="58">
        <f>PSK_AT_verzia_4_0!M123</f>
        <v>0</v>
      </c>
      <c r="N123" s="58">
        <f>PSK_AT_verzia_4_0!N123</f>
        <v>0</v>
      </c>
      <c r="O123" s="58">
        <f>PSK_AT_verzia_4_0!O123</f>
        <v>0</v>
      </c>
      <c r="P123" s="58">
        <f>PSK_AT_verzia_4_0!P123</f>
        <v>0</v>
      </c>
      <c r="Q123" s="58">
        <f>PSK_AT_verzia_4_0!Q123</f>
        <v>0</v>
      </c>
      <c r="R123" s="89"/>
      <c r="S123" s="89"/>
      <c r="T123" s="89"/>
      <c r="U123" s="89"/>
      <c r="V123" s="89"/>
    </row>
    <row r="124" spans="1:22" ht="28" customHeight="1" x14ac:dyDescent="0.35">
      <c r="A124" s="269"/>
      <c r="B124" s="254"/>
      <c r="C124" s="60">
        <f>PSK_AT_verzia_4_0!C124</f>
        <v>0</v>
      </c>
      <c r="D124" s="60">
        <f>PSK_AT_verzia_4_0!D124</f>
        <v>0</v>
      </c>
      <c r="E124" s="60">
        <f>PSK_AT_verzia_4_0!E124</f>
        <v>0</v>
      </c>
      <c r="F124" s="61" t="s">
        <v>107</v>
      </c>
      <c r="G124" s="60">
        <f>PSK_AT_verzia_4_0!G124</f>
        <v>15000000</v>
      </c>
      <c r="H124" s="60">
        <f>PSK_AT_verzia_4_0!H124</f>
        <v>12000000</v>
      </c>
      <c r="I124" s="60">
        <f>PSK_AT_verzia_4_0!I124</f>
        <v>3000000</v>
      </c>
      <c r="J124" s="60">
        <f>PSK_AT_verzia_4_0!J124</f>
        <v>15000000</v>
      </c>
      <c r="K124" s="60">
        <f>PSK_AT_verzia_4_0!K124</f>
        <v>12000000</v>
      </c>
      <c r="L124" s="60">
        <f>PSK_AT_verzia_4_0!L124</f>
        <v>3000000</v>
      </c>
      <c r="M124" s="60">
        <f>PSK_AT_verzia_4_0!M124</f>
        <v>0</v>
      </c>
      <c r="N124" s="60">
        <f>PSK_AT_verzia_4_0!N124</f>
        <v>0</v>
      </c>
      <c r="O124" s="60">
        <f>PSK_AT_verzia_4_0!O124</f>
        <v>0</v>
      </c>
      <c r="P124" s="60">
        <f>PSK_AT_verzia_4_0!P124</f>
        <v>0</v>
      </c>
      <c r="Q124" s="60">
        <f>PSK_AT_verzia_4_0!Q124</f>
        <v>0</v>
      </c>
      <c r="R124" s="89"/>
      <c r="S124" s="89"/>
      <c r="T124" s="89"/>
      <c r="U124" s="89"/>
      <c r="V124" s="89"/>
    </row>
    <row r="125" spans="1:22" ht="28" customHeight="1" x14ac:dyDescent="0.35">
      <c r="A125" s="270"/>
      <c r="B125" s="255"/>
      <c r="C125" s="200">
        <f>PSK_AT_verzia_4_0!C125</f>
        <v>0</v>
      </c>
      <c r="D125" s="200">
        <f>PSK_AT_verzia_4_0!D125</f>
        <v>0</v>
      </c>
      <c r="E125" s="200">
        <f>PSK_AT_verzia_4_0!E125</f>
        <v>0</v>
      </c>
      <c r="F125" s="66" t="s">
        <v>108</v>
      </c>
      <c r="G125" s="67">
        <f>PSK_AT_verzia_4_0!G125</f>
        <v>15000000</v>
      </c>
      <c r="H125" s="67">
        <f>PSK_AT_verzia_4_0!H125</f>
        <v>12000000</v>
      </c>
      <c r="I125" s="67">
        <f>PSK_AT_verzia_4_0!I125</f>
        <v>3000000</v>
      </c>
      <c r="J125" s="67">
        <f>PSK_AT_verzia_4_0!J125</f>
        <v>15000000</v>
      </c>
      <c r="K125" s="67">
        <f>PSK_AT_verzia_4_0!K125</f>
        <v>12000000</v>
      </c>
      <c r="L125" s="67">
        <f>PSK_AT_verzia_4_0!L125</f>
        <v>3000000</v>
      </c>
      <c r="M125" s="67">
        <f>PSK_AT_verzia_4_0!M125</f>
        <v>0</v>
      </c>
      <c r="N125" s="67">
        <f>PSK_AT_verzia_4_0!N125</f>
        <v>0</v>
      </c>
      <c r="O125" s="67">
        <f>PSK_AT_verzia_4_0!O125</f>
        <v>0</v>
      </c>
      <c r="P125" s="67">
        <f>PSK_AT_verzia_4_0!P125</f>
        <v>0</v>
      </c>
      <c r="Q125" s="67">
        <f>PSK_AT_verzia_4_0!Q125</f>
        <v>0</v>
      </c>
      <c r="R125" s="89"/>
      <c r="S125" s="89"/>
      <c r="T125" s="89"/>
      <c r="U125" s="89"/>
      <c r="V125" s="89"/>
    </row>
    <row r="126" spans="1:22" ht="78" x14ac:dyDescent="0.35">
      <c r="A126" s="87" t="s">
        <v>121</v>
      </c>
      <c r="B126" s="88" t="s">
        <v>122</v>
      </c>
      <c r="C126" s="52">
        <f>PSK_AT_verzia_4_0!C126-PSK_AT_verzia_3_5!C111</f>
        <v>-1702553</v>
      </c>
      <c r="D126" s="52">
        <f>PSK_AT_verzia_4_0!D126-PSK_AT_verzia_3_5!D111</f>
        <v>0</v>
      </c>
      <c r="E126" s="52">
        <f>PSK_AT_verzia_4_0!E126-PSK_AT_verzia_3_5!E111</f>
        <v>0</v>
      </c>
      <c r="F126" s="54" t="s">
        <v>123</v>
      </c>
      <c r="G126" s="52">
        <f>PSK_AT_verzia_4_0!G126-PSK_AT_verzia_3_5!G111</f>
        <v>-102550672</v>
      </c>
      <c r="H126" s="52">
        <f>PSK_AT_verzia_4_0!H126-PSK_AT_verzia_3_5!H111</f>
        <v>-75662108</v>
      </c>
      <c r="I126" s="52">
        <f>PSK_AT_verzia_4_0!I126-PSK_AT_verzia_3_5!I111</f>
        <v>-26888564</v>
      </c>
      <c r="J126" s="52">
        <f>PSK_AT_verzia_4_0!J126-PSK_AT_verzia_3_5!J111</f>
        <v>-102550672</v>
      </c>
      <c r="K126" s="52">
        <f>PSK_AT_verzia_4_0!K126-PSK_AT_verzia_3_5!K111</f>
        <v>-75662108</v>
      </c>
      <c r="L126" s="52">
        <f>PSK_AT_verzia_4_0!L126-PSK_AT_verzia_3_5!L111</f>
        <v>-26888564</v>
      </c>
      <c r="M126" s="52">
        <f>PSK_AT_verzia_4_0!M126-PSK_AT_verzia_3_5!M111</f>
        <v>0</v>
      </c>
      <c r="N126" s="52">
        <f>PSK_AT_verzia_4_0!N126-PSK_AT_verzia_3_5!N111</f>
        <v>0</v>
      </c>
      <c r="O126" s="52">
        <f>PSK_AT_verzia_4_0!O126-PSK_AT_verzia_3_5!O111</f>
        <v>0</v>
      </c>
      <c r="P126" s="52">
        <f>PSK_AT_verzia_4_0!P126-PSK_AT_verzia_3_5!P111</f>
        <v>0</v>
      </c>
      <c r="Q126" s="52">
        <f>PSK_AT_verzia_4_0!Q126-PSK_AT_verzia_3_5!Q111</f>
        <v>0</v>
      </c>
      <c r="R126" s="89"/>
      <c r="S126" s="89"/>
      <c r="T126" s="89"/>
      <c r="U126" s="89"/>
      <c r="V126" s="89"/>
    </row>
    <row r="127" spans="1:22" ht="28" customHeight="1" x14ac:dyDescent="0.35">
      <c r="A127" s="262" t="s">
        <v>124</v>
      </c>
      <c r="B127" s="251" t="s">
        <v>125</v>
      </c>
      <c r="C127" s="57">
        <f>PSK_AT_verzia_4_0!C127-PSK_AT_verzia_3_5!C112</f>
        <v>0</v>
      </c>
      <c r="D127" s="57">
        <f>PSK_AT_verzia_4_0!D127-PSK_AT_verzia_3_5!D112</f>
        <v>0</v>
      </c>
      <c r="E127" s="57">
        <f>PSK_AT_verzia_4_0!E127-PSK_AT_verzia_3_5!E112</f>
        <v>0</v>
      </c>
      <c r="F127" s="59" t="s">
        <v>126</v>
      </c>
      <c r="G127" s="58">
        <f>PSK_AT_verzia_4_0!G127-PSK_AT_verzia_3_5!G112</f>
        <v>0</v>
      </c>
      <c r="H127" s="58">
        <f>PSK_AT_verzia_4_0!H127-PSK_AT_verzia_3_5!H112</f>
        <v>0</v>
      </c>
      <c r="I127" s="58">
        <f>PSK_AT_verzia_4_0!I127-PSK_AT_verzia_3_5!I112</f>
        <v>0</v>
      </c>
      <c r="J127" s="58">
        <f>PSK_AT_verzia_4_0!J127-PSK_AT_verzia_3_5!J112</f>
        <v>0</v>
      </c>
      <c r="K127" s="58">
        <f>PSK_AT_verzia_4_0!K127-PSK_AT_verzia_3_5!K112</f>
        <v>0</v>
      </c>
      <c r="L127" s="58">
        <f>PSK_AT_verzia_4_0!L127-PSK_AT_verzia_3_5!L112</f>
        <v>0</v>
      </c>
      <c r="M127" s="58">
        <f>PSK_AT_verzia_4_0!M127-PSK_AT_verzia_3_5!M112</f>
        <v>0</v>
      </c>
      <c r="N127" s="58">
        <f>PSK_AT_verzia_4_0!N127-PSK_AT_verzia_3_5!N112</f>
        <v>0</v>
      </c>
      <c r="O127" s="58">
        <f>PSK_AT_verzia_4_0!O127-PSK_AT_verzia_3_5!O112</f>
        <v>0</v>
      </c>
      <c r="P127" s="58">
        <f>PSK_AT_verzia_4_0!P127-PSK_AT_verzia_3_5!P112</f>
        <v>0</v>
      </c>
      <c r="Q127" s="58">
        <f>PSK_AT_verzia_4_0!Q127-PSK_AT_verzia_3_5!Q112</f>
        <v>0</v>
      </c>
      <c r="R127" s="89"/>
      <c r="S127" s="89"/>
      <c r="T127" s="89"/>
      <c r="U127" s="89"/>
      <c r="V127" s="89"/>
    </row>
    <row r="128" spans="1:22" ht="28" customHeight="1" x14ac:dyDescent="0.35">
      <c r="A128" s="262"/>
      <c r="B128" s="251"/>
      <c r="C128" s="60">
        <f>PSK_AT_verzia_4_0!C128-PSK_AT_verzia_3_5!C113</f>
        <v>0</v>
      </c>
      <c r="D128" s="60">
        <f>PSK_AT_verzia_4_0!D128-PSK_AT_verzia_3_5!D113</f>
        <v>0</v>
      </c>
      <c r="E128" s="72">
        <f>PSK_AT_verzia_4_0!E128-PSK_AT_verzia_3_5!E113</f>
        <v>0</v>
      </c>
      <c r="F128" s="61" t="s">
        <v>107</v>
      </c>
      <c r="G128" s="60">
        <f>PSK_AT_verzia_4_0!G128-PSK_AT_verzia_3_5!G113</f>
        <v>0</v>
      </c>
      <c r="H128" s="60">
        <f>PSK_AT_verzia_4_0!H128-PSK_AT_verzia_3_5!H113</f>
        <v>0</v>
      </c>
      <c r="I128" s="60">
        <f>PSK_AT_verzia_4_0!I128-PSK_AT_verzia_3_5!I113</f>
        <v>0</v>
      </c>
      <c r="J128" s="60">
        <f>PSK_AT_verzia_4_0!J128-PSK_AT_verzia_3_5!J113</f>
        <v>0</v>
      </c>
      <c r="K128" s="60">
        <f>PSK_AT_verzia_4_0!K128-PSK_AT_verzia_3_5!K113</f>
        <v>0</v>
      </c>
      <c r="L128" s="60">
        <f>PSK_AT_verzia_4_0!L128-PSK_AT_verzia_3_5!L113</f>
        <v>0</v>
      </c>
      <c r="M128" s="60">
        <f>PSK_AT_verzia_4_0!M128-PSK_AT_verzia_3_5!M113</f>
        <v>0</v>
      </c>
      <c r="N128" s="60">
        <f>PSK_AT_verzia_4_0!N128-PSK_AT_verzia_3_5!N113</f>
        <v>0</v>
      </c>
      <c r="O128" s="60">
        <f>PSK_AT_verzia_4_0!O128-PSK_AT_verzia_3_5!O113</f>
        <v>0</v>
      </c>
      <c r="P128" s="60">
        <f>PSK_AT_verzia_4_0!P128-PSK_AT_verzia_3_5!P113</f>
        <v>0</v>
      </c>
      <c r="Q128" s="60">
        <f>PSK_AT_verzia_4_0!Q128-PSK_AT_verzia_3_5!Q113</f>
        <v>0</v>
      </c>
      <c r="R128" s="89"/>
      <c r="S128" s="89"/>
      <c r="T128" s="89"/>
      <c r="U128" s="89"/>
      <c r="V128" s="89"/>
    </row>
    <row r="129" spans="1:22" ht="28" customHeight="1" x14ac:dyDescent="0.35">
      <c r="A129" s="262"/>
      <c r="B129" s="251"/>
      <c r="C129" s="200">
        <f>PSK_AT_verzia_4_0!C129-PSK_AT_verzia_3_5!C114</f>
        <v>0</v>
      </c>
      <c r="D129" s="200">
        <f>PSK_AT_verzia_4_0!D129-PSK_AT_verzia_3_5!D114</f>
        <v>0</v>
      </c>
      <c r="E129" s="200">
        <f>PSK_AT_verzia_4_0!E129-PSK_AT_verzia_3_5!E114</f>
        <v>0</v>
      </c>
      <c r="F129" s="66" t="s">
        <v>108</v>
      </c>
      <c r="G129" s="67">
        <f>PSK_AT_verzia_4_0!G129-PSK_AT_verzia_3_5!G114</f>
        <v>0</v>
      </c>
      <c r="H129" s="67">
        <f>PSK_AT_verzia_4_0!H129-PSK_AT_verzia_3_5!H114</f>
        <v>0</v>
      </c>
      <c r="I129" s="67">
        <f>PSK_AT_verzia_4_0!I129-PSK_AT_verzia_3_5!I114</f>
        <v>0</v>
      </c>
      <c r="J129" s="67">
        <f>PSK_AT_verzia_4_0!J129-PSK_AT_verzia_3_5!J114</f>
        <v>0</v>
      </c>
      <c r="K129" s="67">
        <f>PSK_AT_verzia_4_0!K129-PSK_AT_verzia_3_5!K114</f>
        <v>0</v>
      </c>
      <c r="L129" s="67">
        <f>PSK_AT_verzia_4_0!L129-PSK_AT_verzia_3_5!L114</f>
        <v>0</v>
      </c>
      <c r="M129" s="67">
        <f>PSK_AT_verzia_4_0!M129-PSK_AT_verzia_3_5!M114</f>
        <v>0</v>
      </c>
      <c r="N129" s="67">
        <f>PSK_AT_verzia_4_0!N129-PSK_AT_verzia_3_5!N114</f>
        <v>0</v>
      </c>
      <c r="O129" s="67">
        <f>PSK_AT_verzia_4_0!O129-PSK_AT_verzia_3_5!O114</f>
        <v>0</v>
      </c>
      <c r="P129" s="67">
        <f>PSK_AT_verzia_4_0!P129-PSK_AT_verzia_3_5!P114</f>
        <v>0</v>
      </c>
      <c r="Q129" s="67">
        <f>PSK_AT_verzia_4_0!Q129-PSK_AT_verzia_3_5!Q114</f>
        <v>0</v>
      </c>
      <c r="R129" s="89"/>
      <c r="S129" s="89"/>
      <c r="T129" s="89"/>
      <c r="U129" s="89"/>
      <c r="V129" s="89"/>
    </row>
    <row r="130" spans="1:22" ht="28" customHeight="1" x14ac:dyDescent="0.35">
      <c r="A130" s="262"/>
      <c r="B130" s="251"/>
      <c r="C130" s="200">
        <f>PSK_AT_verzia_4_0!C130-PSK_AT_verzia_3_5!C115</f>
        <v>0</v>
      </c>
      <c r="D130" s="200">
        <f>PSK_AT_verzia_4_0!D130-PSK_AT_verzia_3_5!D115</f>
        <v>0</v>
      </c>
      <c r="E130" s="200">
        <f>PSK_AT_verzia_4_0!E130-PSK_AT_verzia_3_5!E115</f>
        <v>0</v>
      </c>
      <c r="F130" s="66" t="s">
        <v>109</v>
      </c>
      <c r="G130" s="74">
        <f>PSK_AT_verzia_4_0!G130-PSK_AT_verzia_3_5!G115</f>
        <v>0</v>
      </c>
      <c r="H130" s="74">
        <f>PSK_AT_verzia_4_0!H130-PSK_AT_verzia_3_5!H115</f>
        <v>0</v>
      </c>
      <c r="I130" s="74">
        <f>PSK_AT_verzia_4_0!I130-PSK_AT_verzia_3_5!I115</f>
        <v>0</v>
      </c>
      <c r="J130" s="74">
        <f>PSK_AT_verzia_4_0!J130-PSK_AT_verzia_3_5!J115</f>
        <v>0</v>
      </c>
      <c r="K130" s="74">
        <f>PSK_AT_verzia_4_0!K130-PSK_AT_verzia_3_5!K115</f>
        <v>0</v>
      </c>
      <c r="L130" s="74">
        <f>PSK_AT_verzia_4_0!L130-PSK_AT_verzia_3_5!L115</f>
        <v>0</v>
      </c>
      <c r="M130" s="74">
        <f>PSK_AT_verzia_4_0!M130-PSK_AT_verzia_3_5!M115</f>
        <v>0</v>
      </c>
      <c r="N130" s="74">
        <f>PSK_AT_verzia_4_0!N130-PSK_AT_verzia_3_5!N115</f>
        <v>0</v>
      </c>
      <c r="O130" s="74">
        <f>PSK_AT_verzia_4_0!O130-PSK_AT_verzia_3_5!O115</f>
        <v>0</v>
      </c>
      <c r="P130" s="74">
        <f>PSK_AT_verzia_4_0!P130-PSK_AT_verzia_3_5!P115</f>
        <v>0</v>
      </c>
      <c r="Q130" s="74">
        <f>PSK_AT_verzia_4_0!Q130-PSK_AT_verzia_3_5!Q115</f>
        <v>0</v>
      </c>
      <c r="R130" s="89"/>
      <c r="S130" s="89"/>
      <c r="T130" s="89"/>
      <c r="U130" s="89"/>
      <c r="V130" s="89"/>
    </row>
    <row r="131" spans="1:22" ht="28" customHeight="1" x14ac:dyDescent="0.35">
      <c r="A131" s="262" t="s">
        <v>127</v>
      </c>
      <c r="B131" s="251" t="s">
        <v>128</v>
      </c>
      <c r="C131" s="57">
        <f>PSK_AT_verzia_4_0!C131-PSK_AT_verzia_3_5!C116</f>
        <v>-1702553</v>
      </c>
      <c r="D131" s="57">
        <f>PSK_AT_verzia_4_0!D131-PSK_AT_verzia_3_5!D116</f>
        <v>0</v>
      </c>
      <c r="E131" s="57">
        <f>PSK_AT_verzia_4_0!E131-PSK_AT_verzia_3_5!E116</f>
        <v>0</v>
      </c>
      <c r="F131" s="59" t="s">
        <v>129</v>
      </c>
      <c r="G131" s="58">
        <f>PSK_AT_verzia_4_0!G131-PSK_AT_verzia_3_5!G116</f>
        <v>-99725149</v>
      </c>
      <c r="H131" s="58">
        <f>PSK_AT_verzia_4_0!H131-PSK_AT_verzia_3_5!H116</f>
        <v>-92672355</v>
      </c>
      <c r="I131" s="58">
        <f>PSK_AT_verzia_4_0!I131-PSK_AT_verzia_3_5!I116</f>
        <v>-7052794</v>
      </c>
      <c r="J131" s="58">
        <f>PSK_AT_verzia_4_0!J131-PSK_AT_verzia_3_5!J116</f>
        <v>-99725149</v>
      </c>
      <c r="K131" s="58">
        <f>PSK_AT_verzia_4_0!K131-PSK_AT_verzia_3_5!K116</f>
        <v>-92672355</v>
      </c>
      <c r="L131" s="58">
        <f>PSK_AT_verzia_4_0!L131-PSK_AT_verzia_3_5!L116</f>
        <v>-7052794</v>
      </c>
      <c r="M131" s="58">
        <f>PSK_AT_verzia_4_0!M131-PSK_AT_verzia_3_5!M116</f>
        <v>0</v>
      </c>
      <c r="N131" s="58">
        <f>PSK_AT_verzia_4_0!N131-PSK_AT_verzia_3_5!N116</f>
        <v>0</v>
      </c>
      <c r="O131" s="58">
        <f>PSK_AT_verzia_4_0!O131-PSK_AT_verzia_3_5!O116</f>
        <v>0</v>
      </c>
      <c r="P131" s="58">
        <f>PSK_AT_verzia_4_0!P131-PSK_AT_verzia_3_5!P116</f>
        <v>0</v>
      </c>
      <c r="Q131" s="58">
        <f>PSK_AT_verzia_4_0!Q131-PSK_AT_verzia_3_5!Q116</f>
        <v>0</v>
      </c>
      <c r="R131" s="89"/>
      <c r="S131" s="89"/>
      <c r="T131" s="89"/>
      <c r="U131" s="89"/>
      <c r="V131" s="89"/>
    </row>
    <row r="132" spans="1:22" ht="28" customHeight="1" x14ac:dyDescent="0.35">
      <c r="A132" s="262"/>
      <c r="B132" s="251"/>
      <c r="C132" s="99">
        <f>PSK_AT_verzia_4_0!C132-PSK_AT_verzia_3_5!C117</f>
        <v>-1702553</v>
      </c>
      <c r="D132" s="60">
        <f>PSK_AT_verzia_4_0!D132-PSK_AT_verzia_3_5!D117</f>
        <v>0</v>
      </c>
      <c r="E132" s="60">
        <f>PSK_AT_verzia_4_0!E132-PSK_AT_verzia_3_5!E117</f>
        <v>0</v>
      </c>
      <c r="F132" s="61" t="s">
        <v>107</v>
      </c>
      <c r="G132" s="60">
        <f>PSK_AT_verzia_4_0!G132-PSK_AT_verzia_3_5!G117</f>
        <v>-99725149</v>
      </c>
      <c r="H132" s="60">
        <f>PSK_AT_verzia_4_0!H132-PSK_AT_verzia_3_5!H117</f>
        <v>-92672355</v>
      </c>
      <c r="I132" s="60">
        <f>PSK_AT_verzia_4_0!I132-PSK_AT_verzia_3_5!I117</f>
        <v>-7052794</v>
      </c>
      <c r="J132" s="60">
        <f>PSK_AT_verzia_4_0!J132-PSK_AT_verzia_3_5!J117</f>
        <v>-99725149</v>
      </c>
      <c r="K132" s="60">
        <f>PSK_AT_verzia_4_0!K132-PSK_AT_verzia_3_5!K117</f>
        <v>-92672355</v>
      </c>
      <c r="L132" s="60">
        <f>PSK_AT_verzia_4_0!L132-PSK_AT_verzia_3_5!L117</f>
        <v>-7052794</v>
      </c>
      <c r="M132" s="60">
        <f>PSK_AT_verzia_4_0!M132-PSK_AT_verzia_3_5!M117</f>
        <v>0</v>
      </c>
      <c r="N132" s="60">
        <f>PSK_AT_verzia_4_0!N132-PSK_AT_verzia_3_5!N117</f>
        <v>0</v>
      </c>
      <c r="O132" s="60">
        <f>PSK_AT_verzia_4_0!O132-PSK_AT_verzia_3_5!O117</f>
        <v>0</v>
      </c>
      <c r="P132" s="60">
        <f>PSK_AT_verzia_4_0!P132-PSK_AT_verzia_3_5!P117</f>
        <v>0</v>
      </c>
      <c r="Q132" s="60">
        <f>PSK_AT_verzia_4_0!Q132-PSK_AT_verzia_3_5!Q117</f>
        <v>0</v>
      </c>
      <c r="R132" s="89"/>
      <c r="S132" s="89"/>
      <c r="T132" s="89"/>
      <c r="U132" s="89"/>
      <c r="V132" s="89"/>
    </row>
    <row r="133" spans="1:22" ht="28" customHeight="1" x14ac:dyDescent="0.35">
      <c r="A133" s="262"/>
      <c r="B133" s="251"/>
      <c r="C133" s="200">
        <f>PSK_AT_verzia_4_0!C133-PSK_AT_verzia_3_5!C118</f>
        <v>0</v>
      </c>
      <c r="D133" s="200">
        <f>PSK_AT_verzia_4_0!D133-PSK_AT_verzia_3_5!D118</f>
        <v>0</v>
      </c>
      <c r="E133" s="200">
        <f>PSK_AT_verzia_4_0!E133-PSK_AT_verzia_3_5!E118</f>
        <v>0</v>
      </c>
      <c r="F133" s="66" t="s">
        <v>108</v>
      </c>
      <c r="G133" s="67">
        <f>PSK_AT_verzia_4_0!G133-PSK_AT_verzia_3_5!G118</f>
        <v>-98022596</v>
      </c>
      <c r="H133" s="67">
        <f>PSK_AT_verzia_4_0!H133-PSK_AT_verzia_3_5!H118</f>
        <v>-92817873</v>
      </c>
      <c r="I133" s="67">
        <f>PSK_AT_verzia_4_0!I133-PSK_AT_verzia_3_5!I118</f>
        <v>-5204723</v>
      </c>
      <c r="J133" s="67">
        <f>PSK_AT_verzia_4_0!J133-PSK_AT_verzia_3_5!J118</f>
        <v>-98022596</v>
      </c>
      <c r="K133" s="67">
        <f>PSK_AT_verzia_4_0!K133-PSK_AT_verzia_3_5!K118</f>
        <v>-92817873</v>
      </c>
      <c r="L133" s="67">
        <f>PSK_AT_verzia_4_0!L133-PSK_AT_verzia_3_5!L118</f>
        <v>-5204723</v>
      </c>
      <c r="M133" s="67">
        <f>PSK_AT_verzia_4_0!M133-PSK_AT_verzia_3_5!M118</f>
        <v>0</v>
      </c>
      <c r="N133" s="67">
        <f>PSK_AT_verzia_4_0!N133-PSK_AT_verzia_3_5!N118</f>
        <v>0</v>
      </c>
      <c r="O133" s="67">
        <f>PSK_AT_verzia_4_0!O133-PSK_AT_verzia_3_5!O118</f>
        <v>0</v>
      </c>
      <c r="P133" s="67">
        <f>PSK_AT_verzia_4_0!P133-PSK_AT_verzia_3_5!P118</f>
        <v>0</v>
      </c>
      <c r="Q133" s="67">
        <f>PSK_AT_verzia_4_0!Q133-PSK_AT_verzia_3_5!Q118</f>
        <v>0</v>
      </c>
      <c r="R133" s="89"/>
      <c r="S133" s="89"/>
      <c r="T133" s="89"/>
      <c r="U133" s="89"/>
      <c r="V133" s="89"/>
    </row>
    <row r="134" spans="1:22" ht="28" customHeight="1" x14ac:dyDescent="0.35">
      <c r="A134" s="262"/>
      <c r="B134" s="251"/>
      <c r="C134" s="200">
        <f>PSK_AT_verzia_4_0!C134-PSK_AT_verzia_3_5!C119</f>
        <v>0</v>
      </c>
      <c r="D134" s="200">
        <f>PSK_AT_verzia_4_0!D134-PSK_AT_verzia_3_5!D119</f>
        <v>0</v>
      </c>
      <c r="E134" s="200">
        <f>PSK_AT_verzia_4_0!E134-PSK_AT_verzia_3_5!E119</f>
        <v>0</v>
      </c>
      <c r="F134" s="66" t="s">
        <v>113</v>
      </c>
      <c r="G134" s="71">
        <f>PSK_AT_verzia_4_0!G134-PSK_AT_verzia_3_5!G119</f>
        <v>219296</v>
      </c>
      <c r="H134" s="71">
        <f>PSK_AT_verzia_4_0!H134-PSK_AT_verzia_3_5!H119</f>
        <v>219296</v>
      </c>
      <c r="I134" s="71">
        <f>PSK_AT_verzia_4_0!I134-PSK_AT_verzia_3_5!I119</f>
        <v>0</v>
      </c>
      <c r="J134" s="71">
        <f>PSK_AT_verzia_4_0!J134-PSK_AT_verzia_3_5!J119</f>
        <v>219296</v>
      </c>
      <c r="K134" s="71">
        <f>PSK_AT_verzia_4_0!K134-PSK_AT_verzia_3_5!K119</f>
        <v>219296</v>
      </c>
      <c r="L134" s="71">
        <f>PSK_AT_verzia_4_0!L134-PSK_AT_verzia_3_5!L119</f>
        <v>0</v>
      </c>
      <c r="M134" s="71">
        <f>PSK_AT_verzia_4_0!M134-PSK_AT_verzia_3_5!M119</f>
        <v>0</v>
      </c>
      <c r="N134" s="71">
        <f>PSK_AT_verzia_4_0!N134-PSK_AT_verzia_3_5!N119</f>
        <v>0</v>
      </c>
      <c r="O134" s="71">
        <f>PSK_AT_verzia_4_0!O134-PSK_AT_verzia_3_5!O119</f>
        <v>0</v>
      </c>
      <c r="P134" s="71">
        <f>PSK_AT_verzia_4_0!P134-PSK_AT_verzia_3_5!P119</f>
        <v>0</v>
      </c>
      <c r="Q134" s="71">
        <f>PSK_AT_verzia_4_0!Q134-PSK_AT_verzia_3_5!Q119</f>
        <v>0</v>
      </c>
      <c r="R134" s="89"/>
      <c r="S134" s="89"/>
      <c r="T134" s="89"/>
      <c r="U134" s="89"/>
      <c r="V134" s="89"/>
    </row>
    <row r="135" spans="1:22" ht="28" customHeight="1" x14ac:dyDescent="0.35">
      <c r="A135" s="262"/>
      <c r="B135" s="251"/>
      <c r="C135" s="200">
        <f>PSK_AT_verzia_4_0!C135-PSK_AT_verzia_3_5!C120</f>
        <v>0</v>
      </c>
      <c r="D135" s="200">
        <f>PSK_AT_verzia_4_0!D135-PSK_AT_verzia_3_5!D120</f>
        <v>0</v>
      </c>
      <c r="E135" s="200">
        <f>PSK_AT_verzia_4_0!E135-PSK_AT_verzia_3_5!E120</f>
        <v>0</v>
      </c>
      <c r="F135" s="66" t="s">
        <v>114</v>
      </c>
      <c r="G135" s="71">
        <f>PSK_AT_verzia_4_0!G135-PSK_AT_verzia_3_5!G120</f>
        <v>-1921849</v>
      </c>
      <c r="H135" s="71">
        <f>PSK_AT_verzia_4_0!H135-PSK_AT_verzia_3_5!H120</f>
        <v>-73778</v>
      </c>
      <c r="I135" s="71">
        <f>PSK_AT_verzia_4_0!I135-PSK_AT_verzia_3_5!I120</f>
        <v>-1848071</v>
      </c>
      <c r="J135" s="71">
        <f>PSK_AT_verzia_4_0!J135-PSK_AT_verzia_3_5!J120</f>
        <v>-1921849</v>
      </c>
      <c r="K135" s="71">
        <f>PSK_AT_verzia_4_0!K135-PSK_AT_verzia_3_5!K120</f>
        <v>-73778</v>
      </c>
      <c r="L135" s="71">
        <f>PSK_AT_verzia_4_0!L135-PSK_AT_verzia_3_5!L120</f>
        <v>-1848071</v>
      </c>
      <c r="M135" s="71">
        <f>PSK_AT_verzia_4_0!M135-PSK_AT_verzia_3_5!M120</f>
        <v>0</v>
      </c>
      <c r="N135" s="71">
        <f>PSK_AT_verzia_4_0!N135-PSK_AT_verzia_3_5!N120</f>
        <v>0</v>
      </c>
      <c r="O135" s="71">
        <f>PSK_AT_verzia_4_0!O135-PSK_AT_verzia_3_5!O120</f>
        <v>0</v>
      </c>
      <c r="P135" s="71">
        <f>PSK_AT_verzia_4_0!P135-PSK_AT_verzia_3_5!P120</f>
        <v>0</v>
      </c>
      <c r="Q135" s="71">
        <f>PSK_AT_verzia_4_0!Q135-PSK_AT_verzia_3_5!Q120</f>
        <v>0</v>
      </c>
      <c r="R135" s="89"/>
      <c r="S135" s="89"/>
      <c r="T135" s="89"/>
      <c r="U135" s="89"/>
      <c r="V135" s="89"/>
    </row>
    <row r="136" spans="1:22" ht="28" customHeight="1" x14ac:dyDescent="0.35">
      <c r="A136" s="262" t="s">
        <v>130</v>
      </c>
      <c r="B136" s="251" t="s">
        <v>131</v>
      </c>
      <c r="C136" s="57">
        <f>PSK_AT_verzia_4_0!C136-PSK_AT_verzia_3_5!C121</f>
        <v>0</v>
      </c>
      <c r="D136" s="57">
        <f>PSK_AT_verzia_4_0!D136-PSK_AT_verzia_3_5!D121</f>
        <v>0</v>
      </c>
      <c r="E136" s="57">
        <f>PSK_AT_verzia_4_0!E136-PSK_AT_verzia_3_5!E121</f>
        <v>0</v>
      </c>
      <c r="F136" s="59" t="s">
        <v>132</v>
      </c>
      <c r="G136" s="58">
        <f>PSK_AT_verzia_4_0!G136-PSK_AT_verzia_3_5!G121</f>
        <v>270913</v>
      </c>
      <c r="H136" s="58">
        <f>PSK_AT_verzia_4_0!H136-PSK_AT_verzia_3_5!H121</f>
        <v>20106683</v>
      </c>
      <c r="I136" s="58">
        <f>PSK_AT_verzia_4_0!I136-PSK_AT_verzia_3_5!I121</f>
        <v>-19835770</v>
      </c>
      <c r="J136" s="58">
        <f>PSK_AT_verzia_4_0!J136-PSK_AT_verzia_3_5!J121</f>
        <v>270913</v>
      </c>
      <c r="K136" s="58">
        <f>PSK_AT_verzia_4_0!K136-PSK_AT_verzia_3_5!K121</f>
        <v>20106683</v>
      </c>
      <c r="L136" s="58">
        <f>PSK_AT_verzia_4_0!L136-PSK_AT_verzia_3_5!L121</f>
        <v>-19835770</v>
      </c>
      <c r="M136" s="58">
        <f>PSK_AT_verzia_4_0!M136-PSK_AT_verzia_3_5!M121</f>
        <v>0</v>
      </c>
      <c r="N136" s="58">
        <f>PSK_AT_verzia_4_0!N136-PSK_AT_verzia_3_5!N121</f>
        <v>0</v>
      </c>
      <c r="O136" s="58">
        <f>PSK_AT_verzia_4_0!O136-PSK_AT_verzia_3_5!O121</f>
        <v>0</v>
      </c>
      <c r="P136" s="58">
        <f>PSK_AT_verzia_4_0!P136-PSK_AT_verzia_3_5!P121</f>
        <v>0</v>
      </c>
      <c r="Q136" s="58">
        <f>PSK_AT_verzia_4_0!Q136-PSK_AT_verzia_3_5!Q121</f>
        <v>0</v>
      </c>
      <c r="R136" s="89"/>
      <c r="S136" s="89"/>
      <c r="T136" s="89"/>
      <c r="U136" s="89"/>
      <c r="V136" s="89"/>
    </row>
    <row r="137" spans="1:22" ht="28" customHeight="1" x14ac:dyDescent="0.35">
      <c r="A137" s="262"/>
      <c r="B137" s="251"/>
      <c r="C137" s="60">
        <f>PSK_AT_verzia_4_0!C137-PSK_AT_verzia_3_5!C122</f>
        <v>0</v>
      </c>
      <c r="D137" s="60">
        <f>PSK_AT_verzia_4_0!D137-PSK_AT_verzia_3_5!D122</f>
        <v>0</v>
      </c>
      <c r="E137" s="60">
        <f>PSK_AT_verzia_4_0!E137-PSK_AT_verzia_3_5!E122</f>
        <v>0</v>
      </c>
      <c r="F137" s="61" t="s">
        <v>107</v>
      </c>
      <c r="G137" s="60">
        <f>PSK_AT_verzia_4_0!G137-PSK_AT_verzia_3_5!G122</f>
        <v>270913</v>
      </c>
      <c r="H137" s="60">
        <f>PSK_AT_verzia_4_0!H137-PSK_AT_verzia_3_5!H122</f>
        <v>20106683</v>
      </c>
      <c r="I137" s="60">
        <f>PSK_AT_verzia_4_0!I137-PSK_AT_verzia_3_5!I122</f>
        <v>-19835770</v>
      </c>
      <c r="J137" s="60">
        <f>PSK_AT_verzia_4_0!J137-PSK_AT_verzia_3_5!J122</f>
        <v>270913</v>
      </c>
      <c r="K137" s="60">
        <f>PSK_AT_verzia_4_0!K137-PSK_AT_verzia_3_5!K122</f>
        <v>20106683</v>
      </c>
      <c r="L137" s="60">
        <f>PSK_AT_verzia_4_0!L137-PSK_AT_verzia_3_5!L122</f>
        <v>-19835770</v>
      </c>
      <c r="M137" s="60">
        <f>PSK_AT_verzia_4_0!M137-PSK_AT_verzia_3_5!M122</f>
        <v>0</v>
      </c>
      <c r="N137" s="60">
        <f>PSK_AT_verzia_4_0!N137-PSK_AT_verzia_3_5!N122</f>
        <v>0</v>
      </c>
      <c r="O137" s="60">
        <f>PSK_AT_verzia_4_0!O137-PSK_AT_verzia_3_5!O122</f>
        <v>0</v>
      </c>
      <c r="P137" s="60">
        <f>PSK_AT_verzia_4_0!P137-PSK_AT_verzia_3_5!P122</f>
        <v>0</v>
      </c>
      <c r="Q137" s="60">
        <f>PSK_AT_verzia_4_0!Q137-PSK_AT_verzia_3_5!Q122</f>
        <v>0</v>
      </c>
      <c r="R137" s="89"/>
      <c r="S137" s="89"/>
      <c r="T137" s="89"/>
      <c r="U137" s="89"/>
      <c r="V137" s="89"/>
    </row>
    <row r="138" spans="1:22" ht="28" customHeight="1" x14ac:dyDescent="0.35">
      <c r="A138" s="262"/>
      <c r="B138" s="251"/>
      <c r="C138" s="200">
        <f>PSK_AT_verzia_4_0!C138-PSK_AT_verzia_3_5!C123</f>
        <v>0</v>
      </c>
      <c r="D138" s="200">
        <f>PSK_AT_verzia_4_0!D138-PSK_AT_verzia_3_5!D123</f>
        <v>0</v>
      </c>
      <c r="E138" s="200">
        <f>PSK_AT_verzia_4_0!E138-PSK_AT_verzia_3_5!E123</f>
        <v>0</v>
      </c>
      <c r="F138" s="66" t="s">
        <v>108</v>
      </c>
      <c r="G138" s="67">
        <f>PSK_AT_verzia_4_0!G138-PSK_AT_verzia_3_5!G123</f>
        <v>270913</v>
      </c>
      <c r="H138" s="67">
        <f>PSK_AT_verzia_4_0!H138-PSK_AT_verzia_3_5!H123</f>
        <v>20106683</v>
      </c>
      <c r="I138" s="67">
        <f>PSK_AT_verzia_4_0!I138-PSK_AT_verzia_3_5!I123</f>
        <v>-19835770</v>
      </c>
      <c r="J138" s="67">
        <f>PSK_AT_verzia_4_0!J138-PSK_AT_verzia_3_5!J123</f>
        <v>270913</v>
      </c>
      <c r="K138" s="67">
        <f>PSK_AT_verzia_4_0!K138-PSK_AT_verzia_3_5!K123</f>
        <v>20106683</v>
      </c>
      <c r="L138" s="67">
        <f>PSK_AT_verzia_4_0!L138-PSK_AT_verzia_3_5!L123</f>
        <v>-19835770</v>
      </c>
      <c r="M138" s="67">
        <f>PSK_AT_verzia_4_0!M138-PSK_AT_verzia_3_5!M123</f>
        <v>0</v>
      </c>
      <c r="N138" s="67">
        <f>PSK_AT_verzia_4_0!N138-PSK_AT_verzia_3_5!N123</f>
        <v>0</v>
      </c>
      <c r="O138" s="67">
        <f>PSK_AT_verzia_4_0!O138-PSK_AT_verzia_3_5!O123</f>
        <v>0</v>
      </c>
      <c r="P138" s="67">
        <f>PSK_AT_verzia_4_0!P138-PSK_AT_verzia_3_5!P123</f>
        <v>0</v>
      </c>
      <c r="Q138" s="67">
        <f>PSK_AT_verzia_4_0!Q138-PSK_AT_verzia_3_5!Q123</f>
        <v>0</v>
      </c>
      <c r="R138" s="89"/>
      <c r="S138" s="89"/>
      <c r="T138" s="89"/>
      <c r="U138" s="89"/>
      <c r="V138" s="89"/>
    </row>
    <row r="139" spans="1:22" ht="28" customHeight="1" x14ac:dyDescent="0.35">
      <c r="A139" s="262" t="s">
        <v>133</v>
      </c>
      <c r="B139" s="251" t="s">
        <v>134</v>
      </c>
      <c r="C139" s="57">
        <f>PSK_AT_verzia_4_0!C139-PSK_AT_verzia_3_5!C124</f>
        <v>0</v>
      </c>
      <c r="D139" s="57">
        <f>PSK_AT_verzia_4_0!D139-PSK_AT_verzia_3_5!D124</f>
        <v>0</v>
      </c>
      <c r="E139" s="57">
        <f>PSK_AT_verzia_4_0!E139-PSK_AT_verzia_3_5!E124</f>
        <v>0</v>
      </c>
      <c r="F139" s="59" t="s">
        <v>135</v>
      </c>
      <c r="G139" s="58">
        <f>PSK_AT_verzia_4_0!G139-PSK_AT_verzia_3_5!G124</f>
        <v>-3096436</v>
      </c>
      <c r="H139" s="58">
        <f>PSK_AT_verzia_4_0!H139-PSK_AT_verzia_3_5!H124</f>
        <v>-3096436</v>
      </c>
      <c r="I139" s="58">
        <f>PSK_AT_verzia_4_0!I139-PSK_AT_verzia_3_5!I124</f>
        <v>0</v>
      </c>
      <c r="J139" s="58">
        <f>PSK_AT_verzia_4_0!J139-PSK_AT_verzia_3_5!J124</f>
        <v>-3096436</v>
      </c>
      <c r="K139" s="58">
        <f>PSK_AT_verzia_4_0!K139-PSK_AT_verzia_3_5!K124</f>
        <v>-3096436</v>
      </c>
      <c r="L139" s="58">
        <f>PSK_AT_verzia_4_0!L139-PSK_AT_verzia_3_5!L124</f>
        <v>0</v>
      </c>
      <c r="M139" s="58">
        <f>PSK_AT_verzia_4_0!M139-PSK_AT_verzia_3_5!M124</f>
        <v>0</v>
      </c>
      <c r="N139" s="58">
        <f>PSK_AT_verzia_4_0!N139-PSK_AT_verzia_3_5!N124</f>
        <v>0</v>
      </c>
      <c r="O139" s="58">
        <f>PSK_AT_verzia_4_0!O139-PSK_AT_verzia_3_5!O124</f>
        <v>0</v>
      </c>
      <c r="P139" s="58">
        <f>PSK_AT_verzia_4_0!P139-PSK_AT_verzia_3_5!P124</f>
        <v>0</v>
      </c>
      <c r="Q139" s="58">
        <f>PSK_AT_verzia_4_0!Q139-PSK_AT_verzia_3_5!Q124</f>
        <v>0</v>
      </c>
      <c r="R139" s="89"/>
      <c r="S139" s="89"/>
      <c r="T139" s="89"/>
      <c r="U139" s="89"/>
      <c r="V139" s="89"/>
    </row>
    <row r="140" spans="1:22" ht="28" customHeight="1" x14ac:dyDescent="0.35">
      <c r="A140" s="262"/>
      <c r="B140" s="251"/>
      <c r="C140" s="60">
        <f>PSK_AT_verzia_4_0!C140-PSK_AT_verzia_3_5!C125</f>
        <v>0</v>
      </c>
      <c r="D140" s="60">
        <f>PSK_AT_verzia_4_0!D140-PSK_AT_verzia_3_5!D125</f>
        <v>0</v>
      </c>
      <c r="E140" s="60">
        <f>PSK_AT_verzia_4_0!E140-PSK_AT_verzia_3_5!E125</f>
        <v>0</v>
      </c>
      <c r="F140" s="61" t="s">
        <v>107</v>
      </c>
      <c r="G140" s="60">
        <f>PSK_AT_verzia_4_0!G140-PSK_AT_verzia_3_5!G125</f>
        <v>-3096436</v>
      </c>
      <c r="H140" s="60">
        <f>PSK_AT_verzia_4_0!H140-PSK_AT_verzia_3_5!H125</f>
        <v>-3096436</v>
      </c>
      <c r="I140" s="60">
        <f>PSK_AT_verzia_4_0!I140-PSK_AT_verzia_3_5!I125</f>
        <v>0</v>
      </c>
      <c r="J140" s="60">
        <f>PSK_AT_verzia_4_0!J140-PSK_AT_verzia_3_5!J125</f>
        <v>-3096436</v>
      </c>
      <c r="K140" s="60">
        <f>PSK_AT_verzia_4_0!K140-PSK_AT_verzia_3_5!K125</f>
        <v>-3096436</v>
      </c>
      <c r="L140" s="60">
        <f>PSK_AT_verzia_4_0!L140-PSK_AT_verzia_3_5!L125</f>
        <v>0</v>
      </c>
      <c r="M140" s="60">
        <f>PSK_AT_verzia_4_0!M140-PSK_AT_verzia_3_5!M125</f>
        <v>0</v>
      </c>
      <c r="N140" s="60">
        <f>PSK_AT_verzia_4_0!N140-PSK_AT_verzia_3_5!N125</f>
        <v>0</v>
      </c>
      <c r="O140" s="60">
        <f>PSK_AT_verzia_4_0!O140-PSK_AT_verzia_3_5!O125</f>
        <v>0</v>
      </c>
      <c r="P140" s="60">
        <f>PSK_AT_verzia_4_0!P140-PSK_AT_verzia_3_5!P125</f>
        <v>0</v>
      </c>
      <c r="Q140" s="60">
        <f>PSK_AT_verzia_4_0!Q140-PSK_AT_verzia_3_5!Q125</f>
        <v>0</v>
      </c>
      <c r="R140" s="89"/>
      <c r="S140" s="89"/>
      <c r="T140" s="89"/>
      <c r="U140" s="89"/>
      <c r="V140" s="89"/>
    </row>
    <row r="141" spans="1:22" ht="28" customHeight="1" x14ac:dyDescent="0.35">
      <c r="A141" s="262"/>
      <c r="B141" s="251"/>
      <c r="C141" s="200">
        <f>PSK_AT_verzia_4_0!C141-PSK_AT_verzia_3_5!C126</f>
        <v>0</v>
      </c>
      <c r="D141" s="200">
        <f>PSK_AT_verzia_4_0!D141-PSK_AT_verzia_3_5!D126</f>
        <v>0</v>
      </c>
      <c r="E141" s="200">
        <f>PSK_AT_verzia_4_0!E141-PSK_AT_verzia_3_5!E126</f>
        <v>0</v>
      </c>
      <c r="F141" s="66" t="s">
        <v>108</v>
      </c>
      <c r="G141" s="67">
        <f>PSK_AT_verzia_4_0!G141-PSK_AT_verzia_3_5!G126</f>
        <v>-3096436</v>
      </c>
      <c r="H141" s="67">
        <f>PSK_AT_verzia_4_0!H141-PSK_AT_verzia_3_5!H126</f>
        <v>-3096436</v>
      </c>
      <c r="I141" s="67">
        <f>PSK_AT_verzia_4_0!I141-PSK_AT_verzia_3_5!I126</f>
        <v>0</v>
      </c>
      <c r="J141" s="67">
        <f>PSK_AT_verzia_4_0!J141-PSK_AT_verzia_3_5!J126</f>
        <v>-3096436</v>
      </c>
      <c r="K141" s="67">
        <f>PSK_AT_verzia_4_0!K141-PSK_AT_verzia_3_5!K126</f>
        <v>-3096436</v>
      </c>
      <c r="L141" s="67">
        <f>PSK_AT_verzia_4_0!L141-PSK_AT_verzia_3_5!L126</f>
        <v>0</v>
      </c>
      <c r="M141" s="67">
        <f>PSK_AT_verzia_4_0!M141-PSK_AT_verzia_3_5!M126</f>
        <v>0</v>
      </c>
      <c r="N141" s="67">
        <f>PSK_AT_verzia_4_0!N141-PSK_AT_verzia_3_5!N126</f>
        <v>0</v>
      </c>
      <c r="O141" s="67">
        <f>PSK_AT_verzia_4_0!O141-PSK_AT_verzia_3_5!O126</f>
        <v>0</v>
      </c>
      <c r="P141" s="67">
        <f>PSK_AT_verzia_4_0!P141-PSK_AT_verzia_3_5!P126</f>
        <v>0</v>
      </c>
      <c r="Q141" s="67">
        <f>PSK_AT_verzia_4_0!Q141-PSK_AT_verzia_3_5!Q126</f>
        <v>0</v>
      </c>
      <c r="R141" s="89"/>
      <c r="S141" s="89"/>
      <c r="T141" s="89"/>
      <c r="U141" s="89"/>
      <c r="V141" s="89"/>
    </row>
    <row r="142" spans="1:22" ht="52" x14ac:dyDescent="0.35">
      <c r="A142" s="87" t="s">
        <v>136</v>
      </c>
      <c r="B142" s="88" t="s">
        <v>137</v>
      </c>
      <c r="C142" s="52">
        <f>PSK_AT_verzia_4_0!C142-PSK_AT_verzia_3_5!C127</f>
        <v>0</v>
      </c>
      <c r="D142" s="52">
        <f>PSK_AT_verzia_4_0!D142-PSK_AT_verzia_3_5!D127</f>
        <v>0</v>
      </c>
      <c r="E142" s="52">
        <f>PSK_AT_verzia_4_0!E142-PSK_AT_verzia_3_5!E127</f>
        <v>0</v>
      </c>
      <c r="F142" s="54" t="s">
        <v>138</v>
      </c>
      <c r="G142" s="52">
        <f>PSK_AT_verzia_4_0!G142-PSK_AT_verzia_3_5!G127</f>
        <v>-19982799</v>
      </c>
      <c r="H142" s="52">
        <f>PSK_AT_verzia_4_0!H142-PSK_AT_verzia_3_5!H127</f>
        <v>-11740465</v>
      </c>
      <c r="I142" s="52">
        <f>PSK_AT_verzia_4_0!I142-PSK_AT_verzia_3_5!I127</f>
        <v>-8242334</v>
      </c>
      <c r="J142" s="52">
        <f>PSK_AT_verzia_4_0!J142-PSK_AT_verzia_3_5!J127</f>
        <v>-19982799</v>
      </c>
      <c r="K142" s="52">
        <f>PSK_AT_verzia_4_0!K142-PSK_AT_verzia_3_5!K127</f>
        <v>-11740465</v>
      </c>
      <c r="L142" s="52">
        <f>PSK_AT_verzia_4_0!L142-PSK_AT_verzia_3_5!L127</f>
        <v>-8242334</v>
      </c>
      <c r="M142" s="52">
        <f>PSK_AT_verzia_4_0!M142-PSK_AT_verzia_3_5!M127</f>
        <v>0</v>
      </c>
      <c r="N142" s="52">
        <f>PSK_AT_verzia_4_0!N142-PSK_AT_verzia_3_5!N127</f>
        <v>0</v>
      </c>
      <c r="O142" s="52">
        <f>PSK_AT_verzia_4_0!O142-PSK_AT_verzia_3_5!O127</f>
        <v>0</v>
      </c>
      <c r="P142" s="52">
        <f>PSK_AT_verzia_4_0!P142-PSK_AT_verzia_3_5!P127</f>
        <v>0</v>
      </c>
      <c r="Q142" s="52">
        <f>PSK_AT_verzia_4_0!Q142-PSK_AT_verzia_3_5!Q127</f>
        <v>0</v>
      </c>
      <c r="R142" s="89"/>
      <c r="S142" s="89"/>
      <c r="T142" s="89"/>
      <c r="U142" s="89"/>
      <c r="V142" s="89"/>
    </row>
    <row r="143" spans="1:22" ht="28" customHeight="1" x14ac:dyDescent="0.35">
      <c r="A143" s="262" t="s">
        <v>139</v>
      </c>
      <c r="B143" s="251" t="s">
        <v>140</v>
      </c>
      <c r="C143" s="57">
        <f>PSK_AT_verzia_4_0!C143-PSK_AT_verzia_3_5!C128</f>
        <v>0</v>
      </c>
      <c r="D143" s="57">
        <f>PSK_AT_verzia_4_0!D143-PSK_AT_verzia_3_5!D128</f>
        <v>0</v>
      </c>
      <c r="E143" s="57">
        <f>PSK_AT_verzia_4_0!E143-PSK_AT_verzia_3_5!E128</f>
        <v>0</v>
      </c>
      <c r="F143" s="59" t="s">
        <v>141</v>
      </c>
      <c r="G143" s="58">
        <f>PSK_AT_verzia_4_0!G143-PSK_AT_verzia_3_5!G128</f>
        <v>-19982799</v>
      </c>
      <c r="H143" s="58">
        <f>PSK_AT_verzia_4_0!H143-PSK_AT_verzia_3_5!H128</f>
        <v>-11740465</v>
      </c>
      <c r="I143" s="58">
        <f>PSK_AT_verzia_4_0!I143-PSK_AT_verzia_3_5!I128</f>
        <v>-8242334</v>
      </c>
      <c r="J143" s="58">
        <f>PSK_AT_verzia_4_0!J143-PSK_AT_verzia_3_5!J128</f>
        <v>-19982799</v>
      </c>
      <c r="K143" s="58">
        <f>PSK_AT_verzia_4_0!K143-PSK_AT_verzia_3_5!K128</f>
        <v>-11740465</v>
      </c>
      <c r="L143" s="58">
        <f>PSK_AT_verzia_4_0!L143-PSK_AT_verzia_3_5!L128</f>
        <v>-8242334</v>
      </c>
      <c r="M143" s="58">
        <f>PSK_AT_verzia_4_0!M143-PSK_AT_verzia_3_5!M128</f>
        <v>0</v>
      </c>
      <c r="N143" s="58">
        <f>PSK_AT_verzia_4_0!N143-PSK_AT_verzia_3_5!N128</f>
        <v>0</v>
      </c>
      <c r="O143" s="58">
        <f>PSK_AT_verzia_4_0!O143-PSK_AT_verzia_3_5!O128</f>
        <v>0</v>
      </c>
      <c r="P143" s="58">
        <f>PSK_AT_verzia_4_0!P143-PSK_AT_verzia_3_5!P128</f>
        <v>0</v>
      </c>
      <c r="Q143" s="58">
        <f>PSK_AT_verzia_4_0!Q143-PSK_AT_verzia_3_5!Q128</f>
        <v>0</v>
      </c>
      <c r="R143" s="89"/>
      <c r="S143" s="89"/>
      <c r="T143" s="89"/>
      <c r="U143" s="89"/>
      <c r="V143" s="89"/>
    </row>
    <row r="144" spans="1:22" ht="28" customHeight="1" x14ac:dyDescent="0.35">
      <c r="A144" s="262"/>
      <c r="B144" s="251"/>
      <c r="C144" s="60">
        <f>PSK_AT_verzia_4_0!C144-PSK_AT_verzia_3_5!C129</f>
        <v>0</v>
      </c>
      <c r="D144" s="60">
        <f>PSK_AT_verzia_4_0!D144-PSK_AT_verzia_3_5!D129</f>
        <v>0</v>
      </c>
      <c r="E144" s="60">
        <f>PSK_AT_verzia_4_0!E144-PSK_AT_verzia_3_5!E129</f>
        <v>0</v>
      </c>
      <c r="F144" s="61" t="s">
        <v>107</v>
      </c>
      <c r="G144" s="60">
        <f>PSK_AT_verzia_4_0!G144-PSK_AT_verzia_3_5!G129</f>
        <v>-19982799</v>
      </c>
      <c r="H144" s="60">
        <f>PSK_AT_verzia_4_0!H144-PSK_AT_verzia_3_5!H129</f>
        <v>-11740465</v>
      </c>
      <c r="I144" s="60">
        <f>PSK_AT_verzia_4_0!I144-PSK_AT_verzia_3_5!I129</f>
        <v>-8242334</v>
      </c>
      <c r="J144" s="60">
        <f>PSK_AT_verzia_4_0!J144-PSK_AT_verzia_3_5!J129</f>
        <v>-19982799</v>
      </c>
      <c r="K144" s="60">
        <f>PSK_AT_verzia_4_0!K144-PSK_AT_verzia_3_5!K129</f>
        <v>-11740465</v>
      </c>
      <c r="L144" s="60">
        <f>PSK_AT_verzia_4_0!L144-PSK_AT_verzia_3_5!L129</f>
        <v>-8242334</v>
      </c>
      <c r="M144" s="60">
        <f>PSK_AT_verzia_4_0!M144-PSK_AT_verzia_3_5!M129</f>
        <v>0</v>
      </c>
      <c r="N144" s="60">
        <f>PSK_AT_verzia_4_0!N144-PSK_AT_verzia_3_5!N129</f>
        <v>0</v>
      </c>
      <c r="O144" s="60">
        <f>PSK_AT_verzia_4_0!O144-PSK_AT_verzia_3_5!O129</f>
        <v>0</v>
      </c>
      <c r="P144" s="60">
        <f>PSK_AT_verzia_4_0!P144-PSK_AT_verzia_3_5!P129</f>
        <v>0</v>
      </c>
      <c r="Q144" s="60">
        <f>PSK_AT_verzia_4_0!Q144-PSK_AT_verzia_3_5!Q129</f>
        <v>0</v>
      </c>
      <c r="R144" s="89"/>
      <c r="S144" s="89"/>
      <c r="T144" s="89"/>
      <c r="U144" s="89"/>
      <c r="V144" s="89"/>
    </row>
    <row r="145" spans="1:22" ht="28" customHeight="1" x14ac:dyDescent="0.35">
      <c r="A145" s="262"/>
      <c r="B145" s="251"/>
      <c r="C145" s="200">
        <f>PSK_AT_verzia_4_0!C145-PSK_AT_verzia_3_5!C130</f>
        <v>0</v>
      </c>
      <c r="D145" s="200">
        <f>PSK_AT_verzia_4_0!D145-PSK_AT_verzia_3_5!D130</f>
        <v>0</v>
      </c>
      <c r="E145" s="200">
        <f>PSK_AT_verzia_4_0!E145-PSK_AT_verzia_3_5!E130</f>
        <v>0</v>
      </c>
      <c r="F145" s="66" t="s">
        <v>108</v>
      </c>
      <c r="G145" s="67">
        <f>PSK_AT_verzia_4_0!G145-PSK_AT_verzia_3_5!G130</f>
        <v>-19982799</v>
      </c>
      <c r="H145" s="67">
        <f>PSK_AT_verzia_4_0!H145-PSK_AT_verzia_3_5!H130</f>
        <v>-11740465</v>
      </c>
      <c r="I145" s="67">
        <f>PSK_AT_verzia_4_0!I145-PSK_AT_verzia_3_5!I130</f>
        <v>-8242334</v>
      </c>
      <c r="J145" s="67">
        <f>PSK_AT_verzia_4_0!J145-PSK_AT_verzia_3_5!J130</f>
        <v>-19982799</v>
      </c>
      <c r="K145" s="67">
        <f>PSK_AT_verzia_4_0!K145-PSK_AT_verzia_3_5!K130</f>
        <v>-11740465</v>
      </c>
      <c r="L145" s="67">
        <f>PSK_AT_verzia_4_0!L145-PSK_AT_verzia_3_5!L130</f>
        <v>-8242334</v>
      </c>
      <c r="M145" s="67">
        <f>PSK_AT_verzia_4_0!M145-PSK_AT_verzia_3_5!M130</f>
        <v>0</v>
      </c>
      <c r="N145" s="67">
        <f>PSK_AT_verzia_4_0!N145-PSK_AT_verzia_3_5!N130</f>
        <v>0</v>
      </c>
      <c r="O145" s="67">
        <f>PSK_AT_verzia_4_0!O145-PSK_AT_verzia_3_5!O130</f>
        <v>0</v>
      </c>
      <c r="P145" s="67">
        <f>PSK_AT_verzia_4_0!P145-PSK_AT_verzia_3_5!P130</f>
        <v>0</v>
      </c>
      <c r="Q145" s="67">
        <f>PSK_AT_verzia_4_0!Q145-PSK_AT_verzia_3_5!Q130</f>
        <v>0</v>
      </c>
      <c r="R145" s="89"/>
      <c r="S145" s="89"/>
      <c r="T145" s="89"/>
      <c r="U145" s="89"/>
      <c r="V145" s="89"/>
    </row>
    <row r="146" spans="1:22" ht="30" customHeight="1" x14ac:dyDescent="0.35">
      <c r="A146" s="45" t="s">
        <v>142</v>
      </c>
      <c r="B146" s="46" t="s">
        <v>143</v>
      </c>
      <c r="C146" s="47">
        <f>PSK_AT_verzia_4_0!C146-PSK_AT_verzia_3_5!C131</f>
        <v>-37261982</v>
      </c>
      <c r="D146" s="47">
        <f>PSK_AT_verzia_4_0!D146-PSK_AT_verzia_3_5!D131</f>
        <v>-3700000</v>
      </c>
      <c r="E146" s="47">
        <f>PSK_AT_verzia_4_0!E146-PSK_AT_verzia_3_5!E131</f>
        <v>0</v>
      </c>
      <c r="F146" s="48"/>
      <c r="G146" s="48">
        <f>PSK_AT_verzia_4_0!G146-PSK_AT_verzia_3_5!G131</f>
        <v>-165843769</v>
      </c>
      <c r="H146" s="48">
        <f>PSK_AT_verzia_4_0!H146-PSK_AT_verzia_3_5!H131</f>
        <v>-74920740</v>
      </c>
      <c r="I146" s="48">
        <f>PSK_AT_verzia_4_0!I146-PSK_AT_verzia_3_5!I131</f>
        <v>-723029</v>
      </c>
      <c r="J146" s="48">
        <f>PSK_AT_verzia_4_0!J146-PSK_AT_verzia_3_5!J131</f>
        <v>-75643769</v>
      </c>
      <c r="K146" s="48">
        <f>PSK_AT_verzia_4_0!K146-PSK_AT_verzia_3_5!K131</f>
        <v>-74920740</v>
      </c>
      <c r="L146" s="48">
        <f>PSK_AT_verzia_4_0!L146-PSK_AT_verzia_3_5!L131</f>
        <v>-723029</v>
      </c>
      <c r="M146" s="48">
        <f>PSK_AT_verzia_4_0!M146-PSK_AT_verzia_3_5!M131</f>
        <v>-90200000</v>
      </c>
      <c r="N146" s="48">
        <f>PSK_AT_verzia_4_0!N146-PSK_AT_verzia_3_5!N131</f>
        <v>0</v>
      </c>
      <c r="O146" s="48">
        <f>PSK_AT_verzia_4_0!O146-PSK_AT_verzia_3_5!O131</f>
        <v>0</v>
      </c>
      <c r="P146" s="48">
        <f>PSK_AT_verzia_4_0!P146-PSK_AT_verzia_3_5!P131</f>
        <v>0</v>
      </c>
      <c r="Q146" s="48">
        <f>PSK_AT_verzia_4_0!Q146-PSK_AT_verzia_3_5!Q131</f>
        <v>0</v>
      </c>
      <c r="R146" s="89"/>
      <c r="S146" s="89"/>
      <c r="T146" s="89"/>
      <c r="U146" s="89"/>
      <c r="V146" s="89"/>
    </row>
    <row r="147" spans="1:22" ht="78" x14ac:dyDescent="0.35">
      <c r="A147" s="87" t="s">
        <v>144</v>
      </c>
      <c r="B147" s="88" t="s">
        <v>145</v>
      </c>
      <c r="C147" s="52">
        <f>PSK_AT_verzia_4_0!C147-PSK_AT_verzia_3_5!C132</f>
        <v>-8473242</v>
      </c>
      <c r="D147" s="52">
        <f>PSK_AT_verzia_4_0!D147-PSK_AT_verzia_3_5!D132</f>
        <v>0</v>
      </c>
      <c r="E147" s="52">
        <f>PSK_AT_verzia_4_0!E147-PSK_AT_verzia_3_5!E132</f>
        <v>0</v>
      </c>
      <c r="F147" s="54" t="s">
        <v>146</v>
      </c>
      <c r="G147" s="52">
        <f>PSK_AT_verzia_4_0!G147-PSK_AT_verzia_3_5!G132</f>
        <v>-47350421</v>
      </c>
      <c r="H147" s="52">
        <f>PSK_AT_verzia_4_0!H147-PSK_AT_verzia_3_5!H132</f>
        <v>-17150421</v>
      </c>
      <c r="I147" s="52">
        <f>PSK_AT_verzia_4_0!I147-PSK_AT_verzia_3_5!I132</f>
        <v>0</v>
      </c>
      <c r="J147" s="52">
        <f>PSK_AT_verzia_4_0!J147-PSK_AT_verzia_3_5!J132</f>
        <v>-17150421</v>
      </c>
      <c r="K147" s="52">
        <f>PSK_AT_verzia_4_0!K147-PSK_AT_verzia_3_5!K132</f>
        <v>-17150421</v>
      </c>
      <c r="L147" s="52">
        <f>PSK_AT_verzia_4_0!L147-PSK_AT_verzia_3_5!L132</f>
        <v>0</v>
      </c>
      <c r="M147" s="52">
        <f>PSK_AT_verzia_4_0!M147-PSK_AT_verzia_3_5!M132</f>
        <v>-30200000</v>
      </c>
      <c r="N147" s="52">
        <f>PSK_AT_verzia_4_0!N147-PSK_AT_verzia_3_5!N132</f>
        <v>0</v>
      </c>
      <c r="O147" s="52">
        <f>PSK_AT_verzia_4_0!O147-PSK_AT_verzia_3_5!O132</f>
        <v>0</v>
      </c>
      <c r="P147" s="52">
        <f>PSK_AT_verzia_4_0!P147-PSK_AT_verzia_3_5!P132</f>
        <v>0</v>
      </c>
      <c r="Q147" s="52">
        <f>PSK_AT_verzia_4_0!Q147-PSK_AT_verzia_3_5!Q132</f>
        <v>0</v>
      </c>
      <c r="R147" s="89"/>
      <c r="S147" s="89"/>
      <c r="T147" s="89"/>
      <c r="U147" s="89"/>
      <c r="V147" s="89"/>
    </row>
    <row r="148" spans="1:22" ht="28" customHeight="1" x14ac:dyDescent="0.35">
      <c r="A148" s="267" t="s">
        <v>147</v>
      </c>
      <c r="B148" s="215" t="s">
        <v>148</v>
      </c>
      <c r="C148" s="57">
        <f>PSK_AT_verzia_4_0!C148-PSK_AT_verzia_3_5!C133</f>
        <v>-8473242</v>
      </c>
      <c r="D148" s="57">
        <f>PSK_AT_verzia_4_0!D148-PSK_AT_verzia_3_5!D133</f>
        <v>0</v>
      </c>
      <c r="E148" s="57">
        <f>PSK_AT_verzia_4_0!E148-PSK_AT_verzia_3_5!E133</f>
        <v>0</v>
      </c>
      <c r="F148" s="59" t="s">
        <v>149</v>
      </c>
      <c r="G148" s="58">
        <f>PSK_AT_verzia_4_0!G148-PSK_AT_verzia_3_5!G133</f>
        <v>-8473242</v>
      </c>
      <c r="H148" s="58">
        <f>PSK_AT_verzia_4_0!H148-PSK_AT_verzia_3_5!H133</f>
        <v>-8473242</v>
      </c>
      <c r="I148" s="58">
        <f>PSK_AT_verzia_4_0!I148-PSK_AT_verzia_3_5!I133</f>
        <v>0</v>
      </c>
      <c r="J148" s="58">
        <f>PSK_AT_verzia_4_0!J148-PSK_AT_verzia_3_5!J133</f>
        <v>-8473242</v>
      </c>
      <c r="K148" s="58">
        <f>PSK_AT_verzia_4_0!K148-PSK_AT_verzia_3_5!K133</f>
        <v>-8473242</v>
      </c>
      <c r="L148" s="58">
        <f>PSK_AT_verzia_4_0!L148-PSK_AT_verzia_3_5!L133</f>
        <v>0</v>
      </c>
      <c r="M148" s="58">
        <f>PSK_AT_verzia_4_0!M148-PSK_AT_verzia_3_5!M133</f>
        <v>0</v>
      </c>
      <c r="N148" s="58">
        <f>PSK_AT_verzia_4_0!N148-PSK_AT_verzia_3_5!N133</f>
        <v>0</v>
      </c>
      <c r="O148" s="58">
        <f>PSK_AT_verzia_4_0!O148-PSK_AT_verzia_3_5!O133</f>
        <v>0</v>
      </c>
      <c r="P148" s="58">
        <f>PSK_AT_verzia_4_0!P148-PSK_AT_verzia_3_5!P133</f>
        <v>0</v>
      </c>
      <c r="Q148" s="58">
        <f>PSK_AT_verzia_4_0!Q148-PSK_AT_verzia_3_5!Q133</f>
        <v>0</v>
      </c>
      <c r="R148" s="89"/>
      <c r="S148" s="89"/>
      <c r="T148" s="89"/>
      <c r="U148" s="89"/>
      <c r="V148" s="89"/>
    </row>
    <row r="149" spans="1:22" ht="28" customHeight="1" x14ac:dyDescent="0.35">
      <c r="A149" s="267"/>
      <c r="B149" s="215"/>
      <c r="C149" s="99">
        <f>PSK_AT_verzia_4_0!C149-PSK_AT_verzia_3_5!C134</f>
        <v>-8473242</v>
      </c>
      <c r="D149" s="60">
        <f>PSK_AT_verzia_4_0!D149-PSK_AT_verzia_3_5!D134</f>
        <v>0</v>
      </c>
      <c r="E149" s="60">
        <f>PSK_AT_verzia_4_0!E149-PSK_AT_verzia_3_5!E134</f>
        <v>0</v>
      </c>
      <c r="F149" s="61" t="s">
        <v>150</v>
      </c>
      <c r="G149" s="60">
        <f>PSK_AT_verzia_4_0!G149-PSK_AT_verzia_3_5!G134</f>
        <v>-8473242</v>
      </c>
      <c r="H149" s="60">
        <f>PSK_AT_verzia_4_0!H149-PSK_AT_verzia_3_5!H134</f>
        <v>-8473242</v>
      </c>
      <c r="I149" s="60">
        <f>PSK_AT_verzia_4_0!I149-PSK_AT_verzia_3_5!I134</f>
        <v>0</v>
      </c>
      <c r="J149" s="60">
        <f>PSK_AT_verzia_4_0!J149-PSK_AT_verzia_3_5!J134</f>
        <v>-8473242</v>
      </c>
      <c r="K149" s="60">
        <f>PSK_AT_verzia_4_0!K149-PSK_AT_verzia_3_5!K134</f>
        <v>-8473242</v>
      </c>
      <c r="L149" s="60">
        <f>PSK_AT_verzia_4_0!L149-PSK_AT_verzia_3_5!L134</f>
        <v>0</v>
      </c>
      <c r="M149" s="60">
        <f>PSK_AT_verzia_4_0!M149-PSK_AT_verzia_3_5!M134</f>
        <v>0</v>
      </c>
      <c r="N149" s="60">
        <f>PSK_AT_verzia_4_0!N149-PSK_AT_verzia_3_5!N134</f>
        <v>0</v>
      </c>
      <c r="O149" s="60">
        <f>PSK_AT_verzia_4_0!O149-PSK_AT_verzia_3_5!O134</f>
        <v>0</v>
      </c>
      <c r="P149" s="60">
        <f>PSK_AT_verzia_4_0!P149-PSK_AT_verzia_3_5!P134</f>
        <v>0</v>
      </c>
      <c r="Q149" s="60">
        <f>PSK_AT_verzia_4_0!Q149-PSK_AT_verzia_3_5!Q134</f>
        <v>0</v>
      </c>
      <c r="R149" s="89"/>
      <c r="S149" s="89"/>
      <c r="T149" s="89"/>
      <c r="U149" s="89"/>
      <c r="V149" s="89"/>
    </row>
    <row r="150" spans="1:22" ht="28" customHeight="1" x14ac:dyDescent="0.35">
      <c r="A150" s="267"/>
      <c r="B150" s="215"/>
      <c r="C150" s="200">
        <f>PSK_AT_verzia_4_0!C150-PSK_AT_verzia_3_5!C135</f>
        <v>0</v>
      </c>
      <c r="D150" s="200">
        <f>PSK_AT_verzia_4_0!D150-PSK_AT_verzia_3_5!D135</f>
        <v>0</v>
      </c>
      <c r="E150" s="200">
        <f>PSK_AT_verzia_4_0!E150-PSK_AT_verzia_3_5!E135</f>
        <v>0</v>
      </c>
      <c r="F150" s="66" t="s">
        <v>151</v>
      </c>
      <c r="G150" s="67">
        <f>PSK_AT_verzia_4_0!G150-PSK_AT_verzia_3_5!G135</f>
        <v>0</v>
      </c>
      <c r="H150" s="67">
        <f>PSK_AT_verzia_4_0!H150-PSK_AT_verzia_3_5!H135</f>
        <v>0</v>
      </c>
      <c r="I150" s="67">
        <f>PSK_AT_verzia_4_0!I150-PSK_AT_verzia_3_5!I135</f>
        <v>0</v>
      </c>
      <c r="J150" s="67">
        <f>PSK_AT_verzia_4_0!J150-PSK_AT_verzia_3_5!J135</f>
        <v>0</v>
      </c>
      <c r="K150" s="67">
        <f>PSK_AT_verzia_4_0!K150-PSK_AT_verzia_3_5!K135</f>
        <v>0</v>
      </c>
      <c r="L150" s="67">
        <f>PSK_AT_verzia_4_0!L150-PSK_AT_verzia_3_5!L135</f>
        <v>0</v>
      </c>
      <c r="M150" s="67">
        <f>PSK_AT_verzia_4_0!M150-PSK_AT_verzia_3_5!M135</f>
        <v>0</v>
      </c>
      <c r="N150" s="67">
        <f>PSK_AT_verzia_4_0!N150-PSK_AT_verzia_3_5!N135</f>
        <v>0</v>
      </c>
      <c r="O150" s="67">
        <f>PSK_AT_verzia_4_0!O150-PSK_AT_verzia_3_5!O135</f>
        <v>0</v>
      </c>
      <c r="P150" s="67">
        <f>PSK_AT_verzia_4_0!P150-PSK_AT_verzia_3_5!P135</f>
        <v>0</v>
      </c>
      <c r="Q150" s="67">
        <f>PSK_AT_verzia_4_0!Q150-PSK_AT_verzia_3_5!Q135</f>
        <v>0</v>
      </c>
      <c r="R150" s="89"/>
      <c r="S150" s="89"/>
      <c r="T150" s="89"/>
      <c r="U150" s="89"/>
      <c r="V150" s="89"/>
    </row>
    <row r="151" spans="1:22" ht="28" customHeight="1" x14ac:dyDescent="0.35">
      <c r="A151" s="267"/>
      <c r="B151" s="215"/>
      <c r="C151" s="200">
        <f>PSK_AT_verzia_4_0!C151-PSK_AT_verzia_3_5!C136</f>
        <v>0</v>
      </c>
      <c r="D151" s="200">
        <f>PSK_AT_verzia_4_0!D151-PSK_AT_verzia_3_5!D136</f>
        <v>0</v>
      </c>
      <c r="E151" s="200">
        <f>PSK_AT_verzia_4_0!E151-PSK_AT_verzia_3_5!E136</f>
        <v>0</v>
      </c>
      <c r="F151" s="66" t="s">
        <v>152</v>
      </c>
      <c r="G151" s="71">
        <f>PSK_AT_verzia_4_0!G151-PSK_AT_verzia_3_5!G136</f>
        <v>935639</v>
      </c>
      <c r="H151" s="71">
        <f>PSK_AT_verzia_4_0!H151-PSK_AT_verzia_3_5!H136</f>
        <v>935639</v>
      </c>
      <c r="I151" s="71">
        <f>PSK_AT_verzia_4_0!I151-PSK_AT_verzia_3_5!I136</f>
        <v>0</v>
      </c>
      <c r="J151" s="71">
        <f>PSK_AT_verzia_4_0!J151-PSK_AT_verzia_3_5!J136</f>
        <v>935639</v>
      </c>
      <c r="K151" s="71">
        <f>PSK_AT_verzia_4_0!K151-PSK_AT_verzia_3_5!K136</f>
        <v>935639</v>
      </c>
      <c r="L151" s="71">
        <f>PSK_AT_verzia_4_0!L151-PSK_AT_verzia_3_5!L136</f>
        <v>0</v>
      </c>
      <c r="M151" s="71">
        <f>PSK_AT_verzia_4_0!M151-PSK_AT_verzia_3_5!M136</f>
        <v>0</v>
      </c>
      <c r="N151" s="71">
        <f>PSK_AT_verzia_4_0!N151-PSK_AT_verzia_3_5!N136</f>
        <v>0</v>
      </c>
      <c r="O151" s="71">
        <f>PSK_AT_verzia_4_0!O151-PSK_AT_verzia_3_5!O136</f>
        <v>0</v>
      </c>
      <c r="P151" s="71">
        <f>PSK_AT_verzia_4_0!P151-PSK_AT_verzia_3_5!P136</f>
        <v>0</v>
      </c>
      <c r="Q151" s="71">
        <f>PSK_AT_verzia_4_0!Q151-PSK_AT_verzia_3_5!Q136</f>
        <v>0</v>
      </c>
      <c r="R151" s="89"/>
      <c r="S151" s="89"/>
      <c r="T151" s="89"/>
      <c r="U151" s="89"/>
      <c r="V151" s="89"/>
    </row>
    <row r="152" spans="1:22" ht="28" customHeight="1" x14ac:dyDescent="0.35">
      <c r="A152" s="267"/>
      <c r="B152" s="215"/>
      <c r="C152" s="200">
        <f>PSK_AT_verzia_4_0!C152-PSK_AT_verzia_3_5!C137</f>
        <v>0</v>
      </c>
      <c r="D152" s="200">
        <f>PSK_AT_verzia_4_0!D152-PSK_AT_verzia_3_5!D137</f>
        <v>0</v>
      </c>
      <c r="E152" s="200">
        <f>PSK_AT_verzia_4_0!E152-PSK_AT_verzia_3_5!E137</f>
        <v>0</v>
      </c>
      <c r="F152" s="66" t="s">
        <v>153</v>
      </c>
      <c r="G152" s="71">
        <f>PSK_AT_verzia_4_0!G152-PSK_AT_verzia_3_5!G137</f>
        <v>-9408881</v>
      </c>
      <c r="H152" s="71">
        <f>PSK_AT_verzia_4_0!H152-PSK_AT_verzia_3_5!H137</f>
        <v>-9408881</v>
      </c>
      <c r="I152" s="71">
        <f>PSK_AT_verzia_4_0!I152-PSK_AT_verzia_3_5!I137</f>
        <v>0</v>
      </c>
      <c r="J152" s="71">
        <f>PSK_AT_verzia_4_0!J152-PSK_AT_verzia_3_5!J137</f>
        <v>-9408881</v>
      </c>
      <c r="K152" s="71">
        <f>PSK_AT_verzia_4_0!K152-PSK_AT_verzia_3_5!K137</f>
        <v>-9408881</v>
      </c>
      <c r="L152" s="71">
        <f>PSK_AT_verzia_4_0!L152-PSK_AT_verzia_3_5!L137</f>
        <v>0</v>
      </c>
      <c r="M152" s="71">
        <f>PSK_AT_verzia_4_0!M152-PSK_AT_verzia_3_5!M137</f>
        <v>0</v>
      </c>
      <c r="N152" s="71">
        <f>PSK_AT_verzia_4_0!N152-PSK_AT_verzia_3_5!N137</f>
        <v>0</v>
      </c>
      <c r="O152" s="71">
        <f>PSK_AT_verzia_4_0!O152-PSK_AT_verzia_3_5!O137</f>
        <v>0</v>
      </c>
      <c r="P152" s="71">
        <f>PSK_AT_verzia_4_0!P152-PSK_AT_verzia_3_5!P137</f>
        <v>0</v>
      </c>
      <c r="Q152" s="71">
        <f>PSK_AT_verzia_4_0!Q152-PSK_AT_verzia_3_5!Q137</f>
        <v>0</v>
      </c>
      <c r="R152" s="89"/>
      <c r="S152" s="89"/>
      <c r="T152" s="89"/>
      <c r="U152" s="89"/>
      <c r="V152" s="89"/>
    </row>
    <row r="153" spans="1:22" ht="28" customHeight="1" x14ac:dyDescent="0.35">
      <c r="A153" s="262" t="s">
        <v>154</v>
      </c>
      <c r="B153" s="265" t="s">
        <v>155</v>
      </c>
      <c r="C153" s="57">
        <f>PSK_AT_verzia_4_0!C153-PSK_AT_verzia_3_5!C138</f>
        <v>0</v>
      </c>
      <c r="D153" s="57">
        <f>PSK_AT_verzia_4_0!D153-PSK_AT_verzia_3_5!D138</f>
        <v>0</v>
      </c>
      <c r="E153" s="57">
        <f>PSK_AT_verzia_4_0!E153-PSK_AT_verzia_3_5!E138</f>
        <v>0</v>
      </c>
      <c r="F153" s="59" t="s">
        <v>156</v>
      </c>
      <c r="G153" s="58">
        <f>PSK_AT_verzia_4_0!G153-PSK_AT_verzia_3_5!G138</f>
        <v>0</v>
      </c>
      <c r="H153" s="58">
        <f>PSK_AT_verzia_4_0!H153-PSK_AT_verzia_3_5!H138</f>
        <v>0</v>
      </c>
      <c r="I153" s="58">
        <f>PSK_AT_verzia_4_0!I153-PSK_AT_verzia_3_5!I138</f>
        <v>0</v>
      </c>
      <c r="J153" s="58">
        <f>PSK_AT_verzia_4_0!J153-PSK_AT_verzia_3_5!J138</f>
        <v>0</v>
      </c>
      <c r="K153" s="58">
        <f>PSK_AT_verzia_4_0!K153-PSK_AT_verzia_3_5!K138</f>
        <v>0</v>
      </c>
      <c r="L153" s="58">
        <f>PSK_AT_verzia_4_0!L153-PSK_AT_verzia_3_5!L138</f>
        <v>0</v>
      </c>
      <c r="M153" s="58">
        <f>PSK_AT_verzia_4_0!M153-PSK_AT_verzia_3_5!M138</f>
        <v>0</v>
      </c>
      <c r="N153" s="58">
        <f>PSK_AT_verzia_4_0!N153-PSK_AT_verzia_3_5!N138</f>
        <v>0</v>
      </c>
      <c r="O153" s="58">
        <f>PSK_AT_verzia_4_0!O153-PSK_AT_verzia_3_5!O138</f>
        <v>0</v>
      </c>
      <c r="P153" s="58">
        <f>PSK_AT_verzia_4_0!P153-PSK_AT_verzia_3_5!P138</f>
        <v>0</v>
      </c>
      <c r="Q153" s="58">
        <f>PSK_AT_verzia_4_0!Q153-PSK_AT_verzia_3_5!Q138</f>
        <v>0</v>
      </c>
      <c r="R153" s="89"/>
      <c r="S153" s="89"/>
      <c r="T153" s="89"/>
      <c r="U153" s="89"/>
      <c r="V153" s="89"/>
    </row>
    <row r="154" spans="1:22" ht="28" customHeight="1" x14ac:dyDescent="0.35">
      <c r="A154" s="262"/>
      <c r="B154" s="265"/>
      <c r="C154" s="60">
        <f>PSK_AT_verzia_4_0!C154-PSK_AT_verzia_3_5!C139</f>
        <v>0</v>
      </c>
      <c r="D154" s="60">
        <f>PSK_AT_verzia_4_0!D154-PSK_AT_verzia_3_5!D139</f>
        <v>0</v>
      </c>
      <c r="E154" s="60">
        <f>PSK_AT_verzia_4_0!E154-PSK_AT_verzia_3_5!E139</f>
        <v>0</v>
      </c>
      <c r="F154" s="61" t="s">
        <v>150</v>
      </c>
      <c r="G154" s="60">
        <f>PSK_AT_verzia_4_0!G154-PSK_AT_verzia_3_5!G139</f>
        <v>0</v>
      </c>
      <c r="H154" s="60">
        <f>PSK_AT_verzia_4_0!H154-PSK_AT_verzia_3_5!H139</f>
        <v>0</v>
      </c>
      <c r="I154" s="60">
        <f>PSK_AT_verzia_4_0!I154-PSK_AT_verzia_3_5!I139</f>
        <v>0</v>
      </c>
      <c r="J154" s="60">
        <f>PSK_AT_verzia_4_0!J154-PSK_AT_verzia_3_5!J139</f>
        <v>0</v>
      </c>
      <c r="K154" s="60">
        <f>PSK_AT_verzia_4_0!K154-PSK_AT_verzia_3_5!K139</f>
        <v>0</v>
      </c>
      <c r="L154" s="60">
        <f>PSK_AT_verzia_4_0!L154-PSK_AT_verzia_3_5!L139</f>
        <v>0</v>
      </c>
      <c r="M154" s="60">
        <f>PSK_AT_verzia_4_0!M154-PSK_AT_verzia_3_5!M139</f>
        <v>0</v>
      </c>
      <c r="N154" s="60">
        <f>PSK_AT_verzia_4_0!N154-PSK_AT_verzia_3_5!N139</f>
        <v>0</v>
      </c>
      <c r="O154" s="60">
        <f>PSK_AT_verzia_4_0!O154-PSK_AT_verzia_3_5!O139</f>
        <v>0</v>
      </c>
      <c r="P154" s="60">
        <f>PSK_AT_verzia_4_0!P154-PSK_AT_verzia_3_5!P139</f>
        <v>0</v>
      </c>
      <c r="Q154" s="60">
        <f>PSK_AT_verzia_4_0!Q154-PSK_AT_verzia_3_5!Q139</f>
        <v>0</v>
      </c>
      <c r="R154" s="89"/>
      <c r="S154" s="89"/>
      <c r="T154" s="89"/>
      <c r="U154" s="89"/>
      <c r="V154" s="89"/>
    </row>
    <row r="155" spans="1:22" ht="28" customHeight="1" x14ac:dyDescent="0.35">
      <c r="A155" s="262"/>
      <c r="B155" s="265"/>
      <c r="C155" s="200">
        <f>PSK_AT_verzia_4_0!C155-PSK_AT_verzia_3_5!C140</f>
        <v>0</v>
      </c>
      <c r="D155" s="200">
        <f>PSK_AT_verzia_4_0!D155-PSK_AT_verzia_3_5!D140</f>
        <v>0</v>
      </c>
      <c r="E155" s="200">
        <f>PSK_AT_verzia_4_0!E155-PSK_AT_verzia_3_5!E140</f>
        <v>0</v>
      </c>
      <c r="F155" s="66" t="s">
        <v>151</v>
      </c>
      <c r="G155" s="67">
        <f>PSK_AT_verzia_4_0!G155-PSK_AT_verzia_3_5!G140</f>
        <v>0</v>
      </c>
      <c r="H155" s="67">
        <f>PSK_AT_verzia_4_0!H155-PSK_AT_verzia_3_5!H140</f>
        <v>0</v>
      </c>
      <c r="I155" s="67">
        <f>PSK_AT_verzia_4_0!I155-PSK_AT_verzia_3_5!I140</f>
        <v>0</v>
      </c>
      <c r="J155" s="67">
        <f>PSK_AT_verzia_4_0!J155-PSK_AT_verzia_3_5!J140</f>
        <v>0</v>
      </c>
      <c r="K155" s="67">
        <f>PSK_AT_verzia_4_0!K155-PSK_AT_verzia_3_5!K140</f>
        <v>0</v>
      </c>
      <c r="L155" s="67">
        <f>PSK_AT_verzia_4_0!L155-PSK_AT_verzia_3_5!L140</f>
        <v>0</v>
      </c>
      <c r="M155" s="67">
        <f>PSK_AT_verzia_4_0!M155-PSK_AT_verzia_3_5!M140</f>
        <v>0</v>
      </c>
      <c r="N155" s="67">
        <f>PSK_AT_verzia_4_0!N155-PSK_AT_verzia_3_5!N140</f>
        <v>0</v>
      </c>
      <c r="O155" s="67">
        <f>PSK_AT_verzia_4_0!O155-PSK_AT_verzia_3_5!O140</f>
        <v>0</v>
      </c>
      <c r="P155" s="67">
        <f>PSK_AT_verzia_4_0!P155-PSK_AT_verzia_3_5!P140</f>
        <v>0</v>
      </c>
      <c r="Q155" s="67">
        <f>PSK_AT_verzia_4_0!Q155-PSK_AT_verzia_3_5!Q140</f>
        <v>0</v>
      </c>
      <c r="R155" s="89"/>
      <c r="S155" s="89"/>
      <c r="T155" s="89"/>
      <c r="U155" s="89"/>
      <c r="V155" s="89"/>
    </row>
    <row r="156" spans="1:22" ht="28" customHeight="1" x14ac:dyDescent="0.35">
      <c r="A156" s="262" t="s">
        <v>157</v>
      </c>
      <c r="B156" s="265" t="s">
        <v>158</v>
      </c>
      <c r="C156" s="57">
        <f>PSK_AT_verzia_4_0!C156-PSK_AT_verzia_3_5!C141</f>
        <v>0</v>
      </c>
      <c r="D156" s="57">
        <f>PSK_AT_verzia_4_0!D156-PSK_AT_verzia_3_5!D141</f>
        <v>0</v>
      </c>
      <c r="E156" s="57">
        <f>PSK_AT_verzia_4_0!E156-PSK_AT_verzia_3_5!E141</f>
        <v>0</v>
      </c>
      <c r="F156" s="59" t="s">
        <v>159</v>
      </c>
      <c r="G156" s="58">
        <f>PSK_AT_verzia_4_0!G156-PSK_AT_verzia_3_5!G141</f>
        <v>0</v>
      </c>
      <c r="H156" s="58">
        <f>PSK_AT_verzia_4_0!H156-PSK_AT_verzia_3_5!H141</f>
        <v>0</v>
      </c>
      <c r="I156" s="58">
        <f>PSK_AT_verzia_4_0!I156-PSK_AT_verzia_3_5!I141</f>
        <v>0</v>
      </c>
      <c r="J156" s="58">
        <f>PSK_AT_verzia_4_0!J156-PSK_AT_verzia_3_5!J141</f>
        <v>0</v>
      </c>
      <c r="K156" s="58">
        <f>PSK_AT_verzia_4_0!K156-PSK_AT_verzia_3_5!K141</f>
        <v>0</v>
      </c>
      <c r="L156" s="58">
        <f>PSK_AT_verzia_4_0!L156-PSK_AT_verzia_3_5!L141</f>
        <v>0</v>
      </c>
      <c r="M156" s="58">
        <f>PSK_AT_verzia_4_0!M156-PSK_AT_verzia_3_5!M141</f>
        <v>0</v>
      </c>
      <c r="N156" s="58">
        <f>PSK_AT_verzia_4_0!N156-PSK_AT_verzia_3_5!N141</f>
        <v>0</v>
      </c>
      <c r="O156" s="58">
        <f>PSK_AT_verzia_4_0!O156-PSK_AT_verzia_3_5!O141</f>
        <v>0</v>
      </c>
      <c r="P156" s="58">
        <f>PSK_AT_verzia_4_0!P156-PSK_AT_verzia_3_5!P141</f>
        <v>0</v>
      </c>
      <c r="Q156" s="58">
        <f>PSK_AT_verzia_4_0!Q156-PSK_AT_verzia_3_5!Q141</f>
        <v>0</v>
      </c>
      <c r="R156" s="89"/>
      <c r="S156" s="89"/>
      <c r="T156" s="89"/>
      <c r="U156" s="89"/>
      <c r="V156" s="89"/>
    </row>
    <row r="157" spans="1:22" ht="28" customHeight="1" x14ac:dyDescent="0.35">
      <c r="A157" s="262"/>
      <c r="B157" s="265"/>
      <c r="C157" s="60">
        <f>PSK_AT_verzia_4_0!C157-PSK_AT_verzia_3_5!C142</f>
        <v>0</v>
      </c>
      <c r="D157" s="60">
        <f>PSK_AT_verzia_4_0!D157-PSK_AT_verzia_3_5!D142</f>
        <v>0</v>
      </c>
      <c r="E157" s="60">
        <f>PSK_AT_verzia_4_0!E157-PSK_AT_verzia_3_5!E142</f>
        <v>0</v>
      </c>
      <c r="F157" s="61" t="s">
        <v>150</v>
      </c>
      <c r="G157" s="60">
        <f>PSK_AT_verzia_4_0!G157-PSK_AT_verzia_3_5!G142</f>
        <v>0</v>
      </c>
      <c r="H157" s="60">
        <f>PSK_AT_verzia_4_0!H157-PSK_AT_verzia_3_5!H142</f>
        <v>0</v>
      </c>
      <c r="I157" s="60">
        <f>PSK_AT_verzia_4_0!I157-PSK_AT_verzia_3_5!I142</f>
        <v>0</v>
      </c>
      <c r="J157" s="60">
        <f>PSK_AT_verzia_4_0!J157-PSK_AT_verzia_3_5!J142</f>
        <v>0</v>
      </c>
      <c r="K157" s="60">
        <f>PSK_AT_verzia_4_0!K157-PSK_AT_verzia_3_5!K142</f>
        <v>0</v>
      </c>
      <c r="L157" s="60">
        <f>PSK_AT_verzia_4_0!L157-PSK_AT_verzia_3_5!L142</f>
        <v>0</v>
      </c>
      <c r="M157" s="60">
        <f>PSK_AT_verzia_4_0!M157-PSK_AT_verzia_3_5!M142</f>
        <v>0</v>
      </c>
      <c r="N157" s="60">
        <f>PSK_AT_verzia_4_0!N157-PSK_AT_verzia_3_5!N142</f>
        <v>0</v>
      </c>
      <c r="O157" s="60">
        <f>PSK_AT_verzia_4_0!O157-PSK_AT_verzia_3_5!O142</f>
        <v>0</v>
      </c>
      <c r="P157" s="60">
        <f>PSK_AT_verzia_4_0!P157-PSK_AT_verzia_3_5!P142</f>
        <v>0</v>
      </c>
      <c r="Q157" s="60">
        <f>PSK_AT_verzia_4_0!Q157-PSK_AT_verzia_3_5!Q142</f>
        <v>0</v>
      </c>
      <c r="R157" s="89"/>
      <c r="S157" s="89"/>
      <c r="T157" s="89"/>
      <c r="U157" s="89"/>
      <c r="V157" s="89"/>
    </row>
    <row r="158" spans="1:22" ht="28" customHeight="1" x14ac:dyDescent="0.35">
      <c r="A158" s="262"/>
      <c r="B158" s="265"/>
      <c r="C158" s="200">
        <f>PSK_AT_verzia_4_0!C158-PSK_AT_verzia_3_5!C143</f>
        <v>0</v>
      </c>
      <c r="D158" s="200">
        <f>PSK_AT_verzia_4_0!D158-PSK_AT_verzia_3_5!D143</f>
        <v>0</v>
      </c>
      <c r="E158" s="200">
        <f>PSK_AT_verzia_4_0!E158-PSK_AT_verzia_3_5!E143</f>
        <v>0</v>
      </c>
      <c r="F158" s="66" t="s">
        <v>151</v>
      </c>
      <c r="G158" s="67">
        <f>PSK_AT_verzia_4_0!G158-PSK_AT_verzia_3_5!G143</f>
        <v>0</v>
      </c>
      <c r="H158" s="67">
        <f>PSK_AT_verzia_4_0!H158-PSK_AT_verzia_3_5!H143</f>
        <v>0</v>
      </c>
      <c r="I158" s="67">
        <f>PSK_AT_verzia_4_0!I158-PSK_AT_verzia_3_5!I143</f>
        <v>0</v>
      </c>
      <c r="J158" s="67">
        <f>PSK_AT_verzia_4_0!J158-PSK_AT_verzia_3_5!J143</f>
        <v>0</v>
      </c>
      <c r="K158" s="67">
        <f>PSK_AT_verzia_4_0!K158-PSK_AT_verzia_3_5!K143</f>
        <v>0</v>
      </c>
      <c r="L158" s="67">
        <f>PSK_AT_verzia_4_0!L158-PSK_AT_verzia_3_5!L143</f>
        <v>0</v>
      </c>
      <c r="M158" s="67">
        <f>PSK_AT_verzia_4_0!M158-PSK_AT_verzia_3_5!M143</f>
        <v>0</v>
      </c>
      <c r="N158" s="67">
        <f>PSK_AT_verzia_4_0!N158-PSK_AT_verzia_3_5!N143</f>
        <v>0</v>
      </c>
      <c r="O158" s="67">
        <f>PSK_AT_verzia_4_0!O158-PSK_AT_verzia_3_5!O143</f>
        <v>0</v>
      </c>
      <c r="P158" s="67">
        <f>PSK_AT_verzia_4_0!P158-PSK_AT_verzia_3_5!P143</f>
        <v>0</v>
      </c>
      <c r="Q158" s="67">
        <f>PSK_AT_verzia_4_0!Q158-PSK_AT_verzia_3_5!Q143</f>
        <v>0</v>
      </c>
      <c r="R158" s="89"/>
      <c r="S158" s="89"/>
      <c r="T158" s="89"/>
      <c r="U158" s="89"/>
      <c r="V158" s="89"/>
    </row>
    <row r="159" spans="1:22" ht="28" customHeight="1" x14ac:dyDescent="0.35">
      <c r="A159" s="262" t="s">
        <v>160</v>
      </c>
      <c r="B159" s="265" t="s">
        <v>161</v>
      </c>
      <c r="C159" s="57">
        <f>PSK_AT_verzia_4_0!C159-PSK_AT_verzia_3_5!C144</f>
        <v>0</v>
      </c>
      <c r="D159" s="57">
        <f>PSK_AT_verzia_4_0!D159-PSK_AT_verzia_3_5!D144</f>
        <v>0</v>
      </c>
      <c r="E159" s="57">
        <f>PSK_AT_verzia_4_0!E159-PSK_AT_verzia_3_5!E144</f>
        <v>0</v>
      </c>
      <c r="F159" s="59" t="s">
        <v>162</v>
      </c>
      <c r="G159" s="58">
        <f>PSK_AT_verzia_4_0!G159-PSK_AT_verzia_3_5!G144</f>
        <v>-30200000</v>
      </c>
      <c r="H159" s="58">
        <f>PSK_AT_verzia_4_0!H159-PSK_AT_verzia_3_5!H144</f>
        <v>0</v>
      </c>
      <c r="I159" s="58">
        <f>PSK_AT_verzia_4_0!I159-PSK_AT_verzia_3_5!I144</f>
        <v>0</v>
      </c>
      <c r="J159" s="58">
        <f>PSK_AT_verzia_4_0!J159-PSK_AT_verzia_3_5!J144</f>
        <v>0</v>
      </c>
      <c r="K159" s="58">
        <f>PSK_AT_verzia_4_0!K159-PSK_AT_verzia_3_5!K144</f>
        <v>0</v>
      </c>
      <c r="L159" s="58">
        <f>PSK_AT_verzia_4_0!L159-PSK_AT_verzia_3_5!L144</f>
        <v>0</v>
      </c>
      <c r="M159" s="58">
        <f>PSK_AT_verzia_4_0!M159-PSK_AT_verzia_3_5!M144</f>
        <v>-30200000</v>
      </c>
      <c r="N159" s="58">
        <f>PSK_AT_verzia_4_0!N159-PSK_AT_verzia_3_5!N144</f>
        <v>0</v>
      </c>
      <c r="O159" s="58">
        <f>PSK_AT_verzia_4_0!O159-PSK_AT_verzia_3_5!O144</f>
        <v>0</v>
      </c>
      <c r="P159" s="58">
        <f>PSK_AT_verzia_4_0!P159-PSK_AT_verzia_3_5!P144</f>
        <v>0</v>
      </c>
      <c r="Q159" s="58">
        <f>PSK_AT_verzia_4_0!Q159-PSK_AT_verzia_3_5!Q144</f>
        <v>0</v>
      </c>
      <c r="R159" s="89"/>
      <c r="S159" s="89"/>
      <c r="T159" s="89"/>
      <c r="U159" s="89"/>
      <c r="V159" s="89"/>
    </row>
    <row r="160" spans="1:22" ht="28" customHeight="1" x14ac:dyDescent="0.35">
      <c r="A160" s="262"/>
      <c r="B160" s="265"/>
      <c r="C160" s="60">
        <f>PSK_AT_verzia_4_0!C160-PSK_AT_verzia_3_5!C145</f>
        <v>0</v>
      </c>
      <c r="D160" s="60">
        <f>PSK_AT_verzia_4_0!D160-PSK_AT_verzia_3_5!D145</f>
        <v>0</v>
      </c>
      <c r="E160" s="60">
        <f>PSK_AT_verzia_4_0!E160-PSK_AT_verzia_3_5!E145</f>
        <v>0</v>
      </c>
      <c r="F160" s="61" t="s">
        <v>150</v>
      </c>
      <c r="G160" s="60">
        <f>PSK_AT_verzia_4_0!G160-PSK_AT_verzia_3_5!G145</f>
        <v>-30200000</v>
      </c>
      <c r="H160" s="60">
        <f>PSK_AT_verzia_4_0!H160-PSK_AT_verzia_3_5!H145</f>
        <v>0</v>
      </c>
      <c r="I160" s="60">
        <f>PSK_AT_verzia_4_0!I160-PSK_AT_verzia_3_5!I145</f>
        <v>0</v>
      </c>
      <c r="J160" s="60">
        <f>PSK_AT_verzia_4_0!J160-PSK_AT_verzia_3_5!J145</f>
        <v>0</v>
      </c>
      <c r="K160" s="60">
        <f>PSK_AT_verzia_4_0!K160-PSK_AT_verzia_3_5!K145</f>
        <v>0</v>
      </c>
      <c r="L160" s="60">
        <f>PSK_AT_verzia_4_0!L160-PSK_AT_verzia_3_5!L145</f>
        <v>0</v>
      </c>
      <c r="M160" s="60">
        <f>PSK_AT_verzia_4_0!M160-PSK_AT_verzia_3_5!M145</f>
        <v>-30200000</v>
      </c>
      <c r="N160" s="60">
        <f>PSK_AT_verzia_4_0!N160-PSK_AT_verzia_3_5!N145</f>
        <v>0</v>
      </c>
      <c r="O160" s="60">
        <f>PSK_AT_verzia_4_0!O160-PSK_AT_verzia_3_5!O145</f>
        <v>0</v>
      </c>
      <c r="P160" s="60">
        <f>PSK_AT_verzia_4_0!P160-PSK_AT_verzia_3_5!P145</f>
        <v>0</v>
      </c>
      <c r="Q160" s="60">
        <f>PSK_AT_verzia_4_0!Q160-PSK_AT_verzia_3_5!Q145</f>
        <v>0</v>
      </c>
      <c r="R160" s="89"/>
      <c r="S160" s="89"/>
      <c r="T160" s="89"/>
      <c r="U160" s="89"/>
      <c r="V160" s="89"/>
    </row>
    <row r="161" spans="1:22" ht="28" customHeight="1" x14ac:dyDescent="0.35">
      <c r="A161" s="262"/>
      <c r="B161" s="265"/>
      <c r="C161" s="200">
        <f>PSK_AT_verzia_4_0!C161-PSK_AT_verzia_3_5!C146</f>
        <v>0</v>
      </c>
      <c r="D161" s="200">
        <f>PSK_AT_verzia_4_0!D161-PSK_AT_verzia_3_5!D146</f>
        <v>0</v>
      </c>
      <c r="E161" s="200">
        <f>PSK_AT_verzia_4_0!E161-PSK_AT_verzia_3_5!E146</f>
        <v>0</v>
      </c>
      <c r="F161" s="66" t="s">
        <v>151</v>
      </c>
      <c r="G161" s="67">
        <f>PSK_AT_verzia_4_0!G161-PSK_AT_verzia_3_5!G146</f>
        <v>-30200000</v>
      </c>
      <c r="H161" s="67">
        <f>PSK_AT_verzia_4_0!H161-PSK_AT_verzia_3_5!H146</f>
        <v>0</v>
      </c>
      <c r="I161" s="67">
        <f>PSK_AT_verzia_4_0!I161-PSK_AT_verzia_3_5!I146</f>
        <v>0</v>
      </c>
      <c r="J161" s="67">
        <f>PSK_AT_verzia_4_0!J161-PSK_AT_verzia_3_5!J146</f>
        <v>0</v>
      </c>
      <c r="K161" s="67">
        <f>PSK_AT_verzia_4_0!K161-PSK_AT_verzia_3_5!K146</f>
        <v>0</v>
      </c>
      <c r="L161" s="67">
        <f>PSK_AT_verzia_4_0!L161-PSK_AT_verzia_3_5!L146</f>
        <v>0</v>
      </c>
      <c r="M161" s="67">
        <f>PSK_AT_verzia_4_0!M161-PSK_AT_verzia_3_5!M146</f>
        <v>-30200000</v>
      </c>
      <c r="N161" s="67">
        <f>PSK_AT_verzia_4_0!N161-PSK_AT_verzia_3_5!N146</f>
        <v>0</v>
      </c>
      <c r="O161" s="67">
        <f>PSK_AT_verzia_4_0!O161-PSK_AT_verzia_3_5!O146</f>
        <v>0</v>
      </c>
      <c r="P161" s="67">
        <f>PSK_AT_verzia_4_0!P161-PSK_AT_verzia_3_5!P146</f>
        <v>0</v>
      </c>
      <c r="Q161" s="67">
        <f>PSK_AT_verzia_4_0!Q161-PSK_AT_verzia_3_5!Q146</f>
        <v>0</v>
      </c>
      <c r="R161" s="89"/>
      <c r="S161" s="89"/>
      <c r="T161" s="89"/>
      <c r="U161" s="89"/>
      <c r="V161" s="89"/>
    </row>
    <row r="162" spans="1:22" ht="28" customHeight="1" x14ac:dyDescent="0.35">
      <c r="A162" s="262" t="s">
        <v>163</v>
      </c>
      <c r="B162" s="265" t="s">
        <v>164</v>
      </c>
      <c r="C162" s="57">
        <f>PSK_AT_verzia_4_0!C162-PSK_AT_verzia_3_5!C147</f>
        <v>0</v>
      </c>
      <c r="D162" s="57">
        <f>PSK_AT_verzia_4_0!D162-PSK_AT_verzia_3_5!D147</f>
        <v>0</v>
      </c>
      <c r="E162" s="57">
        <f>PSK_AT_verzia_4_0!E162-PSK_AT_verzia_3_5!E147</f>
        <v>0</v>
      </c>
      <c r="F162" s="59" t="s">
        <v>165</v>
      </c>
      <c r="G162" s="58">
        <f>PSK_AT_verzia_4_0!G162-PSK_AT_verzia_3_5!G147</f>
        <v>0</v>
      </c>
      <c r="H162" s="58">
        <f>PSK_AT_verzia_4_0!H162-PSK_AT_verzia_3_5!H147</f>
        <v>0</v>
      </c>
      <c r="I162" s="58">
        <f>PSK_AT_verzia_4_0!I162-PSK_AT_verzia_3_5!I147</f>
        <v>0</v>
      </c>
      <c r="J162" s="58">
        <f>PSK_AT_verzia_4_0!J162-PSK_AT_verzia_3_5!J147</f>
        <v>0</v>
      </c>
      <c r="K162" s="58">
        <f>PSK_AT_verzia_4_0!K162-PSK_AT_verzia_3_5!K147</f>
        <v>0</v>
      </c>
      <c r="L162" s="58">
        <f>PSK_AT_verzia_4_0!L162-PSK_AT_verzia_3_5!L147</f>
        <v>0</v>
      </c>
      <c r="M162" s="58">
        <f>PSK_AT_verzia_4_0!M162-PSK_AT_verzia_3_5!M147</f>
        <v>0</v>
      </c>
      <c r="N162" s="58">
        <f>PSK_AT_verzia_4_0!N162-PSK_AT_verzia_3_5!N147</f>
        <v>0</v>
      </c>
      <c r="O162" s="58">
        <f>PSK_AT_verzia_4_0!O162-PSK_AT_verzia_3_5!O147</f>
        <v>0</v>
      </c>
      <c r="P162" s="58">
        <f>PSK_AT_verzia_4_0!P162-PSK_AT_verzia_3_5!P147</f>
        <v>0</v>
      </c>
      <c r="Q162" s="58">
        <f>PSK_AT_verzia_4_0!Q162-PSK_AT_verzia_3_5!Q147</f>
        <v>0</v>
      </c>
      <c r="R162" s="89"/>
      <c r="S162" s="89"/>
      <c r="T162" s="89"/>
      <c r="U162" s="89"/>
      <c r="V162" s="89"/>
    </row>
    <row r="163" spans="1:22" ht="28" customHeight="1" x14ac:dyDescent="0.35">
      <c r="A163" s="262"/>
      <c r="B163" s="265"/>
      <c r="C163" s="60">
        <f>PSK_AT_verzia_4_0!C163-PSK_AT_verzia_3_5!C148</f>
        <v>0</v>
      </c>
      <c r="D163" s="60">
        <f>PSK_AT_verzia_4_0!D163-PSK_AT_verzia_3_5!D148</f>
        <v>0</v>
      </c>
      <c r="E163" s="60">
        <f>PSK_AT_verzia_4_0!E163-PSK_AT_verzia_3_5!E148</f>
        <v>0</v>
      </c>
      <c r="F163" s="61" t="s">
        <v>150</v>
      </c>
      <c r="G163" s="60">
        <f>PSK_AT_verzia_4_0!G163-PSK_AT_verzia_3_5!G148</f>
        <v>0</v>
      </c>
      <c r="H163" s="60">
        <f>PSK_AT_verzia_4_0!H163-PSK_AT_verzia_3_5!H148</f>
        <v>0</v>
      </c>
      <c r="I163" s="60">
        <f>PSK_AT_verzia_4_0!I163-PSK_AT_verzia_3_5!I148</f>
        <v>0</v>
      </c>
      <c r="J163" s="60">
        <f>PSK_AT_verzia_4_0!J163-PSK_AT_verzia_3_5!J148</f>
        <v>0</v>
      </c>
      <c r="K163" s="60">
        <f>PSK_AT_verzia_4_0!K163-PSK_AT_verzia_3_5!K148</f>
        <v>0</v>
      </c>
      <c r="L163" s="60">
        <f>PSK_AT_verzia_4_0!L163-PSK_AT_verzia_3_5!L148</f>
        <v>0</v>
      </c>
      <c r="M163" s="60">
        <f>PSK_AT_verzia_4_0!M163-PSK_AT_verzia_3_5!M148</f>
        <v>0</v>
      </c>
      <c r="N163" s="60">
        <f>PSK_AT_verzia_4_0!N163-PSK_AT_verzia_3_5!N148</f>
        <v>0</v>
      </c>
      <c r="O163" s="60">
        <f>PSK_AT_verzia_4_0!O163-PSK_AT_verzia_3_5!O148</f>
        <v>0</v>
      </c>
      <c r="P163" s="60">
        <f>PSK_AT_verzia_4_0!P163-PSK_AT_verzia_3_5!P148</f>
        <v>0</v>
      </c>
      <c r="Q163" s="60">
        <f>PSK_AT_verzia_4_0!Q163-PSK_AT_verzia_3_5!Q148</f>
        <v>0</v>
      </c>
      <c r="R163" s="89"/>
      <c r="S163" s="89"/>
      <c r="T163" s="89"/>
      <c r="U163" s="89"/>
      <c r="V163" s="89"/>
    </row>
    <row r="164" spans="1:22" ht="28" customHeight="1" x14ac:dyDescent="0.35">
      <c r="A164" s="262"/>
      <c r="B164" s="265"/>
      <c r="C164" s="200">
        <f>PSK_AT_verzia_4_0!C164-PSK_AT_verzia_3_5!C149</f>
        <v>0</v>
      </c>
      <c r="D164" s="200">
        <f>PSK_AT_verzia_4_0!D164-PSK_AT_verzia_3_5!D149</f>
        <v>0</v>
      </c>
      <c r="E164" s="200">
        <f>PSK_AT_verzia_4_0!E164-PSK_AT_verzia_3_5!E149</f>
        <v>0</v>
      </c>
      <c r="F164" s="66" t="s">
        <v>151</v>
      </c>
      <c r="G164" s="67">
        <f>PSK_AT_verzia_4_0!G164-PSK_AT_verzia_3_5!G149</f>
        <v>0</v>
      </c>
      <c r="H164" s="67">
        <f>PSK_AT_verzia_4_0!H164-PSK_AT_verzia_3_5!H149</f>
        <v>0</v>
      </c>
      <c r="I164" s="67">
        <f>PSK_AT_verzia_4_0!I164-PSK_AT_verzia_3_5!I149</f>
        <v>0</v>
      </c>
      <c r="J164" s="67">
        <f>PSK_AT_verzia_4_0!J164-PSK_AT_verzia_3_5!J149</f>
        <v>0</v>
      </c>
      <c r="K164" s="67">
        <f>PSK_AT_verzia_4_0!K164-PSK_AT_verzia_3_5!K149</f>
        <v>0</v>
      </c>
      <c r="L164" s="67">
        <f>PSK_AT_verzia_4_0!L164-PSK_AT_verzia_3_5!L149</f>
        <v>0</v>
      </c>
      <c r="M164" s="67">
        <f>PSK_AT_verzia_4_0!M164-PSK_AT_verzia_3_5!M149</f>
        <v>0</v>
      </c>
      <c r="N164" s="67">
        <f>PSK_AT_verzia_4_0!N164-PSK_AT_verzia_3_5!N149</f>
        <v>0</v>
      </c>
      <c r="O164" s="67">
        <f>PSK_AT_verzia_4_0!O164-PSK_AT_verzia_3_5!O149</f>
        <v>0</v>
      </c>
      <c r="P164" s="67">
        <f>PSK_AT_verzia_4_0!P164-PSK_AT_verzia_3_5!P149</f>
        <v>0</v>
      </c>
      <c r="Q164" s="67">
        <f>PSK_AT_verzia_4_0!Q164-PSK_AT_verzia_3_5!Q149</f>
        <v>0</v>
      </c>
      <c r="R164" s="89"/>
      <c r="S164" s="89"/>
      <c r="T164" s="89"/>
      <c r="U164" s="89"/>
      <c r="V164" s="89"/>
    </row>
    <row r="165" spans="1:22" ht="28" customHeight="1" x14ac:dyDescent="0.35">
      <c r="A165" s="250" t="s">
        <v>166</v>
      </c>
      <c r="B165" s="215" t="s">
        <v>167</v>
      </c>
      <c r="C165" s="57">
        <f>PSK_AT_verzia_4_0!C165-PSK_AT_verzia_3_5!C150</f>
        <v>0</v>
      </c>
      <c r="D165" s="57">
        <f>PSK_AT_verzia_4_0!D165-PSK_AT_verzia_3_5!D150</f>
        <v>0</v>
      </c>
      <c r="E165" s="57">
        <f>PSK_AT_verzia_4_0!E165-PSK_AT_verzia_3_5!E150</f>
        <v>0</v>
      </c>
      <c r="F165" s="59" t="s">
        <v>168</v>
      </c>
      <c r="G165" s="58">
        <f>PSK_AT_verzia_4_0!G165-PSK_AT_verzia_3_5!G150</f>
        <v>0</v>
      </c>
      <c r="H165" s="58">
        <f>PSK_AT_verzia_4_0!H165-PSK_AT_verzia_3_5!H150</f>
        <v>0</v>
      </c>
      <c r="I165" s="58">
        <f>PSK_AT_verzia_4_0!I165-PSK_AT_verzia_3_5!I150</f>
        <v>0</v>
      </c>
      <c r="J165" s="58">
        <f>PSK_AT_verzia_4_0!J165-PSK_AT_verzia_3_5!J150</f>
        <v>0</v>
      </c>
      <c r="K165" s="58">
        <f>PSK_AT_verzia_4_0!K165-PSK_AT_verzia_3_5!K150</f>
        <v>0</v>
      </c>
      <c r="L165" s="58">
        <f>PSK_AT_verzia_4_0!L165-PSK_AT_verzia_3_5!L150</f>
        <v>0</v>
      </c>
      <c r="M165" s="58">
        <f>PSK_AT_verzia_4_0!M165-PSK_AT_verzia_3_5!M150</f>
        <v>0</v>
      </c>
      <c r="N165" s="58">
        <f>PSK_AT_verzia_4_0!N165-PSK_AT_verzia_3_5!N150</f>
        <v>0</v>
      </c>
      <c r="O165" s="58">
        <f>PSK_AT_verzia_4_0!O165-PSK_AT_verzia_3_5!O150</f>
        <v>0</v>
      </c>
      <c r="P165" s="58">
        <f>PSK_AT_verzia_4_0!P165-PSK_AT_verzia_3_5!P150</f>
        <v>0</v>
      </c>
      <c r="Q165" s="58">
        <f>PSK_AT_verzia_4_0!Q165-PSK_AT_verzia_3_5!Q150</f>
        <v>0</v>
      </c>
      <c r="R165" s="89"/>
      <c r="S165" s="89"/>
      <c r="T165" s="89"/>
      <c r="U165" s="89"/>
      <c r="V165" s="89"/>
    </row>
    <row r="166" spans="1:22" ht="28" customHeight="1" x14ac:dyDescent="0.35">
      <c r="A166" s="250"/>
      <c r="B166" s="215"/>
      <c r="C166" s="60">
        <f>PSK_AT_verzia_4_0!C166-PSK_AT_verzia_3_5!C151</f>
        <v>0</v>
      </c>
      <c r="D166" s="60">
        <f>PSK_AT_verzia_4_0!D166-PSK_AT_verzia_3_5!D151</f>
        <v>0</v>
      </c>
      <c r="E166" s="60">
        <f>PSK_AT_verzia_4_0!E166-PSK_AT_verzia_3_5!E151</f>
        <v>0</v>
      </c>
      <c r="F166" s="61" t="s">
        <v>150</v>
      </c>
      <c r="G166" s="60">
        <f>PSK_AT_verzia_4_0!G166-PSK_AT_verzia_3_5!G151</f>
        <v>0</v>
      </c>
      <c r="H166" s="60">
        <f>PSK_AT_verzia_4_0!H166-PSK_AT_verzia_3_5!H151</f>
        <v>0</v>
      </c>
      <c r="I166" s="60">
        <f>PSK_AT_verzia_4_0!I166-PSK_AT_verzia_3_5!I151</f>
        <v>0</v>
      </c>
      <c r="J166" s="60">
        <f>PSK_AT_verzia_4_0!J166-PSK_AT_verzia_3_5!J151</f>
        <v>0</v>
      </c>
      <c r="K166" s="60">
        <f>PSK_AT_verzia_4_0!K166-PSK_AT_verzia_3_5!K151</f>
        <v>0</v>
      </c>
      <c r="L166" s="60">
        <f>PSK_AT_verzia_4_0!L166-PSK_AT_verzia_3_5!L151</f>
        <v>0</v>
      </c>
      <c r="M166" s="60">
        <f>PSK_AT_verzia_4_0!M166-PSK_AT_verzia_3_5!M151</f>
        <v>0</v>
      </c>
      <c r="N166" s="60">
        <f>PSK_AT_verzia_4_0!N166-PSK_AT_verzia_3_5!N151</f>
        <v>0</v>
      </c>
      <c r="O166" s="60">
        <f>PSK_AT_verzia_4_0!O166-PSK_AT_verzia_3_5!O151</f>
        <v>0</v>
      </c>
      <c r="P166" s="60">
        <f>PSK_AT_verzia_4_0!P166-PSK_AT_verzia_3_5!P151</f>
        <v>0</v>
      </c>
      <c r="Q166" s="60">
        <f>PSK_AT_verzia_4_0!Q166-PSK_AT_verzia_3_5!Q151</f>
        <v>0</v>
      </c>
      <c r="R166" s="89"/>
      <c r="S166" s="89"/>
      <c r="T166" s="89"/>
      <c r="U166" s="89"/>
      <c r="V166" s="89"/>
    </row>
    <row r="167" spans="1:22" ht="28" customHeight="1" x14ac:dyDescent="0.35">
      <c r="A167" s="250"/>
      <c r="B167" s="215"/>
      <c r="C167" s="200">
        <f>PSK_AT_verzia_4_0!C167-PSK_AT_verzia_3_5!C152</f>
        <v>0</v>
      </c>
      <c r="D167" s="200">
        <f>PSK_AT_verzia_4_0!D167-PSK_AT_verzia_3_5!D152</f>
        <v>0</v>
      </c>
      <c r="E167" s="200">
        <f>PSK_AT_verzia_4_0!E167-PSK_AT_verzia_3_5!E152</f>
        <v>0</v>
      </c>
      <c r="F167" s="66" t="s">
        <v>151</v>
      </c>
      <c r="G167" s="67">
        <f>PSK_AT_verzia_4_0!G167-PSK_AT_verzia_3_5!G152</f>
        <v>0</v>
      </c>
      <c r="H167" s="67">
        <f>PSK_AT_verzia_4_0!H167-PSK_AT_verzia_3_5!H152</f>
        <v>0</v>
      </c>
      <c r="I167" s="67">
        <f>PSK_AT_verzia_4_0!I167-PSK_AT_verzia_3_5!I152</f>
        <v>0</v>
      </c>
      <c r="J167" s="67">
        <f>PSK_AT_verzia_4_0!J167-PSK_AT_verzia_3_5!J152</f>
        <v>0</v>
      </c>
      <c r="K167" s="67">
        <f>PSK_AT_verzia_4_0!K167-PSK_AT_verzia_3_5!K152</f>
        <v>0</v>
      </c>
      <c r="L167" s="67">
        <f>PSK_AT_verzia_4_0!L167-PSK_AT_verzia_3_5!L152</f>
        <v>0</v>
      </c>
      <c r="M167" s="67">
        <f>PSK_AT_verzia_4_0!M167-PSK_AT_verzia_3_5!M152</f>
        <v>0</v>
      </c>
      <c r="N167" s="67">
        <f>PSK_AT_verzia_4_0!N167-PSK_AT_verzia_3_5!N152</f>
        <v>0</v>
      </c>
      <c r="O167" s="67">
        <f>PSK_AT_verzia_4_0!O167-PSK_AT_verzia_3_5!O152</f>
        <v>0</v>
      </c>
      <c r="P167" s="67">
        <f>PSK_AT_verzia_4_0!P167-PSK_AT_verzia_3_5!P152</f>
        <v>0</v>
      </c>
      <c r="Q167" s="67">
        <f>PSK_AT_verzia_4_0!Q167-PSK_AT_verzia_3_5!Q152</f>
        <v>0</v>
      </c>
      <c r="R167" s="89"/>
      <c r="S167" s="89"/>
      <c r="T167" s="89"/>
      <c r="U167" s="89"/>
      <c r="V167" s="89"/>
    </row>
    <row r="168" spans="1:22" ht="28" customHeight="1" x14ac:dyDescent="0.35">
      <c r="A168" s="262" t="s">
        <v>169</v>
      </c>
      <c r="B168" s="215" t="s">
        <v>170</v>
      </c>
      <c r="C168" s="57">
        <f>PSK_AT_verzia_4_0!C168-PSK_AT_verzia_3_5!C153</f>
        <v>0</v>
      </c>
      <c r="D168" s="57">
        <f>PSK_AT_verzia_4_0!D168-PSK_AT_verzia_3_5!D153</f>
        <v>0</v>
      </c>
      <c r="E168" s="57">
        <f>PSK_AT_verzia_4_0!E168-PSK_AT_verzia_3_5!E153</f>
        <v>0</v>
      </c>
      <c r="F168" s="59" t="s">
        <v>171</v>
      </c>
      <c r="G168" s="58">
        <f>PSK_AT_verzia_4_0!G168-PSK_AT_verzia_3_5!G153</f>
        <v>0</v>
      </c>
      <c r="H168" s="58">
        <f>PSK_AT_verzia_4_0!H168-PSK_AT_verzia_3_5!H153</f>
        <v>0</v>
      </c>
      <c r="I168" s="58">
        <f>PSK_AT_verzia_4_0!I168-PSK_AT_verzia_3_5!I153</f>
        <v>0</v>
      </c>
      <c r="J168" s="58">
        <f>PSK_AT_verzia_4_0!J168-PSK_AT_verzia_3_5!J153</f>
        <v>0</v>
      </c>
      <c r="K168" s="58">
        <f>PSK_AT_verzia_4_0!K168-PSK_AT_verzia_3_5!K153</f>
        <v>0</v>
      </c>
      <c r="L168" s="58">
        <f>PSK_AT_verzia_4_0!L168-PSK_AT_verzia_3_5!L153</f>
        <v>0</v>
      </c>
      <c r="M168" s="58">
        <f>PSK_AT_verzia_4_0!M168-PSK_AT_verzia_3_5!M153</f>
        <v>0</v>
      </c>
      <c r="N168" s="58">
        <f>PSK_AT_verzia_4_0!N168-PSK_AT_verzia_3_5!N153</f>
        <v>0</v>
      </c>
      <c r="O168" s="58">
        <f>PSK_AT_verzia_4_0!O168-PSK_AT_verzia_3_5!O153</f>
        <v>0</v>
      </c>
      <c r="P168" s="58">
        <f>PSK_AT_verzia_4_0!P168-PSK_AT_verzia_3_5!P153</f>
        <v>0</v>
      </c>
      <c r="Q168" s="58">
        <f>PSK_AT_verzia_4_0!Q168-PSK_AT_verzia_3_5!Q153</f>
        <v>0</v>
      </c>
      <c r="R168" s="89"/>
      <c r="S168" s="89"/>
      <c r="T168" s="89"/>
      <c r="U168" s="89"/>
      <c r="V168" s="89"/>
    </row>
    <row r="169" spans="1:22" ht="28" customHeight="1" x14ac:dyDescent="0.35">
      <c r="A169" s="262"/>
      <c r="B169" s="215"/>
      <c r="C169" s="60">
        <f>PSK_AT_verzia_4_0!C169-PSK_AT_verzia_3_5!C154</f>
        <v>0</v>
      </c>
      <c r="D169" s="60">
        <f>PSK_AT_verzia_4_0!D169-PSK_AT_verzia_3_5!D154</f>
        <v>0</v>
      </c>
      <c r="E169" s="60">
        <f>PSK_AT_verzia_4_0!E169-PSK_AT_verzia_3_5!E154</f>
        <v>0</v>
      </c>
      <c r="F169" s="61" t="s">
        <v>172</v>
      </c>
      <c r="G169" s="60">
        <f>PSK_AT_verzia_4_0!G169-PSK_AT_verzia_3_5!G154</f>
        <v>0</v>
      </c>
      <c r="H169" s="60">
        <f>PSK_AT_verzia_4_0!H169-PSK_AT_verzia_3_5!H154</f>
        <v>0</v>
      </c>
      <c r="I169" s="60">
        <f>PSK_AT_verzia_4_0!I169-PSK_AT_verzia_3_5!I154</f>
        <v>0</v>
      </c>
      <c r="J169" s="60">
        <f>PSK_AT_verzia_4_0!J169-PSK_AT_verzia_3_5!J154</f>
        <v>0</v>
      </c>
      <c r="K169" s="60">
        <f>PSK_AT_verzia_4_0!K169-PSK_AT_verzia_3_5!K154</f>
        <v>0</v>
      </c>
      <c r="L169" s="60">
        <f>PSK_AT_verzia_4_0!L169-PSK_AT_verzia_3_5!L154</f>
        <v>0</v>
      </c>
      <c r="M169" s="60">
        <f>PSK_AT_verzia_4_0!M169-PSK_AT_verzia_3_5!M154</f>
        <v>0</v>
      </c>
      <c r="N169" s="60">
        <f>PSK_AT_verzia_4_0!N169-PSK_AT_verzia_3_5!N154</f>
        <v>0</v>
      </c>
      <c r="O169" s="60">
        <f>PSK_AT_verzia_4_0!O169-PSK_AT_verzia_3_5!O154</f>
        <v>0</v>
      </c>
      <c r="P169" s="60">
        <f>PSK_AT_verzia_4_0!P169-PSK_AT_verzia_3_5!P154</f>
        <v>0</v>
      </c>
      <c r="Q169" s="60">
        <f>PSK_AT_verzia_4_0!Q169-PSK_AT_verzia_3_5!Q154</f>
        <v>0</v>
      </c>
      <c r="R169" s="89"/>
      <c r="S169" s="89"/>
      <c r="T169" s="89"/>
      <c r="U169" s="89"/>
      <c r="V169" s="89"/>
    </row>
    <row r="170" spans="1:22" ht="28" customHeight="1" x14ac:dyDescent="0.35">
      <c r="A170" s="262"/>
      <c r="B170" s="215"/>
      <c r="C170" s="200">
        <f>PSK_AT_verzia_4_0!C170-PSK_AT_verzia_3_5!C155</f>
        <v>0</v>
      </c>
      <c r="D170" s="200">
        <f>PSK_AT_verzia_4_0!D170-PSK_AT_verzia_3_5!D155</f>
        <v>0</v>
      </c>
      <c r="E170" s="200">
        <f>PSK_AT_verzia_4_0!E170-PSK_AT_verzia_3_5!E155</f>
        <v>0</v>
      </c>
      <c r="F170" s="66" t="s">
        <v>173</v>
      </c>
      <c r="G170" s="67">
        <f>PSK_AT_verzia_4_0!G170-PSK_AT_verzia_3_5!G155</f>
        <v>0</v>
      </c>
      <c r="H170" s="67">
        <f>PSK_AT_verzia_4_0!H170-PSK_AT_verzia_3_5!H155</f>
        <v>0</v>
      </c>
      <c r="I170" s="67">
        <f>PSK_AT_verzia_4_0!I170-PSK_AT_verzia_3_5!I155</f>
        <v>0</v>
      </c>
      <c r="J170" s="67">
        <f>PSK_AT_verzia_4_0!J170-PSK_AT_verzia_3_5!J155</f>
        <v>0</v>
      </c>
      <c r="K170" s="67">
        <f>PSK_AT_verzia_4_0!K170-PSK_AT_verzia_3_5!K155</f>
        <v>0</v>
      </c>
      <c r="L170" s="67">
        <f>PSK_AT_verzia_4_0!L170-PSK_AT_verzia_3_5!L155</f>
        <v>0</v>
      </c>
      <c r="M170" s="67">
        <f>PSK_AT_verzia_4_0!M170-PSK_AT_verzia_3_5!M155</f>
        <v>0</v>
      </c>
      <c r="N170" s="67">
        <f>PSK_AT_verzia_4_0!N170-PSK_AT_verzia_3_5!N155</f>
        <v>0</v>
      </c>
      <c r="O170" s="67">
        <f>PSK_AT_verzia_4_0!O170-PSK_AT_verzia_3_5!O155</f>
        <v>0</v>
      </c>
      <c r="P170" s="67">
        <f>PSK_AT_verzia_4_0!P170-PSK_AT_verzia_3_5!P155</f>
        <v>0</v>
      </c>
      <c r="Q170" s="67">
        <f>PSK_AT_verzia_4_0!Q170-PSK_AT_verzia_3_5!Q155</f>
        <v>0</v>
      </c>
      <c r="R170" s="89"/>
      <c r="S170" s="89"/>
      <c r="T170" s="89"/>
      <c r="U170" s="89"/>
      <c r="V170" s="89"/>
    </row>
    <row r="171" spans="1:22" ht="28" customHeight="1" x14ac:dyDescent="0.35">
      <c r="A171" s="252" t="s">
        <v>174</v>
      </c>
      <c r="B171" s="215" t="s">
        <v>175</v>
      </c>
      <c r="C171" s="57">
        <f>PSK_AT_verzia_4_0!C171-PSK_AT_verzia_3_5!C156</f>
        <v>0</v>
      </c>
      <c r="D171" s="57">
        <f>PSK_AT_verzia_4_0!D171-PSK_AT_verzia_3_5!D156</f>
        <v>0</v>
      </c>
      <c r="E171" s="57">
        <f>PSK_AT_verzia_4_0!E171-PSK_AT_verzia_3_5!E156</f>
        <v>0</v>
      </c>
      <c r="F171" s="59" t="s">
        <v>176</v>
      </c>
      <c r="G171" s="58">
        <f>PSK_AT_verzia_4_0!G171-PSK_AT_verzia_3_5!G156</f>
        <v>-8677179</v>
      </c>
      <c r="H171" s="58">
        <f>PSK_AT_verzia_4_0!H171-PSK_AT_verzia_3_5!H156</f>
        <v>-8677179</v>
      </c>
      <c r="I171" s="58">
        <f>PSK_AT_verzia_4_0!I171-PSK_AT_verzia_3_5!I156</f>
        <v>0</v>
      </c>
      <c r="J171" s="58">
        <f>PSK_AT_verzia_4_0!J171-PSK_AT_verzia_3_5!J156</f>
        <v>-8677179</v>
      </c>
      <c r="K171" s="58">
        <f>PSK_AT_verzia_4_0!K171-PSK_AT_verzia_3_5!K156</f>
        <v>-8677179</v>
      </c>
      <c r="L171" s="58">
        <f>PSK_AT_verzia_4_0!L171-PSK_AT_verzia_3_5!L156</f>
        <v>0</v>
      </c>
      <c r="M171" s="58">
        <f>PSK_AT_verzia_4_0!M171-PSK_AT_verzia_3_5!M156</f>
        <v>0</v>
      </c>
      <c r="N171" s="58">
        <f>PSK_AT_verzia_4_0!N171-PSK_AT_verzia_3_5!N156</f>
        <v>0</v>
      </c>
      <c r="O171" s="58">
        <f>PSK_AT_verzia_4_0!O171-PSK_AT_verzia_3_5!O156</f>
        <v>0</v>
      </c>
      <c r="P171" s="58">
        <f>PSK_AT_verzia_4_0!P171-PSK_AT_verzia_3_5!P156</f>
        <v>0</v>
      </c>
      <c r="Q171" s="58">
        <f>PSK_AT_verzia_4_0!Q171-PSK_AT_verzia_3_5!Q156</f>
        <v>0</v>
      </c>
      <c r="R171" s="89"/>
      <c r="S171" s="89"/>
      <c r="T171" s="89"/>
      <c r="U171" s="89"/>
      <c r="V171" s="89"/>
    </row>
    <row r="172" spans="1:22" ht="28" customHeight="1" x14ac:dyDescent="0.35">
      <c r="A172" s="252"/>
      <c r="B172" s="215"/>
      <c r="C172" s="60">
        <f>PSK_AT_verzia_4_0!C172-PSK_AT_verzia_3_5!C157</f>
        <v>0</v>
      </c>
      <c r="D172" s="60">
        <f>PSK_AT_verzia_4_0!D172-PSK_AT_verzia_3_5!D157</f>
        <v>0</v>
      </c>
      <c r="E172" s="60">
        <f>PSK_AT_verzia_4_0!E172-PSK_AT_verzia_3_5!E157</f>
        <v>0</v>
      </c>
      <c r="F172" s="61" t="s">
        <v>172</v>
      </c>
      <c r="G172" s="60">
        <f>PSK_AT_verzia_4_0!G172-PSK_AT_verzia_3_5!G157</f>
        <v>-8677179</v>
      </c>
      <c r="H172" s="60">
        <f>PSK_AT_verzia_4_0!H172-PSK_AT_verzia_3_5!H157</f>
        <v>-8677179</v>
      </c>
      <c r="I172" s="60">
        <f>PSK_AT_verzia_4_0!I172-PSK_AT_verzia_3_5!I157</f>
        <v>0</v>
      </c>
      <c r="J172" s="60">
        <f>PSK_AT_verzia_4_0!J172-PSK_AT_verzia_3_5!J157</f>
        <v>-8677179</v>
      </c>
      <c r="K172" s="60">
        <f>PSK_AT_verzia_4_0!K172-PSK_AT_verzia_3_5!K157</f>
        <v>-8677179</v>
      </c>
      <c r="L172" s="60">
        <f>PSK_AT_verzia_4_0!L172-PSK_AT_verzia_3_5!L157</f>
        <v>0</v>
      </c>
      <c r="M172" s="60">
        <f>PSK_AT_verzia_4_0!M172-PSK_AT_verzia_3_5!M157</f>
        <v>0</v>
      </c>
      <c r="N172" s="60">
        <f>PSK_AT_verzia_4_0!N172-PSK_AT_verzia_3_5!N157</f>
        <v>0</v>
      </c>
      <c r="O172" s="60">
        <f>PSK_AT_verzia_4_0!O172-PSK_AT_verzia_3_5!O157</f>
        <v>0</v>
      </c>
      <c r="P172" s="60">
        <f>PSK_AT_verzia_4_0!P172-PSK_AT_verzia_3_5!P157</f>
        <v>0</v>
      </c>
      <c r="Q172" s="60">
        <f>PSK_AT_verzia_4_0!Q172-PSK_AT_verzia_3_5!Q157</f>
        <v>0</v>
      </c>
      <c r="R172" s="89"/>
      <c r="S172" s="89"/>
      <c r="T172" s="89"/>
      <c r="U172" s="89"/>
      <c r="V172" s="89"/>
    </row>
    <row r="173" spans="1:22" ht="28" customHeight="1" x14ac:dyDescent="0.35">
      <c r="A173" s="252"/>
      <c r="B173" s="215"/>
      <c r="C173" s="200">
        <f>PSK_AT_verzia_4_0!C173-PSK_AT_verzia_3_5!C158</f>
        <v>0</v>
      </c>
      <c r="D173" s="200">
        <f>PSK_AT_verzia_4_0!D173-PSK_AT_verzia_3_5!D158</f>
        <v>0</v>
      </c>
      <c r="E173" s="200">
        <f>PSK_AT_verzia_4_0!E173-PSK_AT_verzia_3_5!E158</f>
        <v>0</v>
      </c>
      <c r="F173" s="66" t="s">
        <v>173</v>
      </c>
      <c r="G173" s="67">
        <f>PSK_AT_verzia_4_0!G173-PSK_AT_verzia_3_5!G158</f>
        <v>-8677179</v>
      </c>
      <c r="H173" s="67">
        <f>PSK_AT_verzia_4_0!H173-PSK_AT_verzia_3_5!H158</f>
        <v>-8677179</v>
      </c>
      <c r="I173" s="67">
        <f>PSK_AT_verzia_4_0!I173-PSK_AT_verzia_3_5!I158</f>
        <v>0</v>
      </c>
      <c r="J173" s="67">
        <f>PSK_AT_verzia_4_0!J173-PSK_AT_verzia_3_5!J158</f>
        <v>-8677179</v>
      </c>
      <c r="K173" s="67">
        <f>PSK_AT_verzia_4_0!K173-PSK_AT_verzia_3_5!K158</f>
        <v>-8677179</v>
      </c>
      <c r="L173" s="67">
        <f>PSK_AT_verzia_4_0!L173-PSK_AT_verzia_3_5!L158</f>
        <v>0</v>
      </c>
      <c r="M173" s="67">
        <f>PSK_AT_verzia_4_0!M173-PSK_AT_verzia_3_5!M158</f>
        <v>0</v>
      </c>
      <c r="N173" s="67">
        <f>PSK_AT_verzia_4_0!N173-PSK_AT_verzia_3_5!N158</f>
        <v>0</v>
      </c>
      <c r="O173" s="67">
        <f>PSK_AT_verzia_4_0!O173-PSK_AT_verzia_3_5!O158</f>
        <v>0</v>
      </c>
      <c r="P173" s="67">
        <f>PSK_AT_verzia_4_0!P173-PSK_AT_verzia_3_5!P158</f>
        <v>0</v>
      </c>
      <c r="Q173" s="67">
        <f>PSK_AT_verzia_4_0!Q173-PSK_AT_verzia_3_5!Q158</f>
        <v>0</v>
      </c>
      <c r="R173" s="89"/>
      <c r="S173" s="89"/>
      <c r="T173" s="89"/>
      <c r="U173" s="89"/>
      <c r="V173" s="89"/>
    </row>
    <row r="174" spans="1:22" ht="28" customHeight="1" x14ac:dyDescent="0.35">
      <c r="A174" s="252" t="s">
        <v>177</v>
      </c>
      <c r="B174" s="215" t="s">
        <v>178</v>
      </c>
      <c r="C174" s="57">
        <f>PSK_AT_verzia_4_0!C174-PSK_AT_verzia_3_5!C159</f>
        <v>0</v>
      </c>
      <c r="D174" s="57">
        <f>PSK_AT_verzia_4_0!D174-PSK_AT_verzia_3_5!D159</f>
        <v>0</v>
      </c>
      <c r="E174" s="57">
        <f>PSK_AT_verzia_4_0!E174-PSK_AT_verzia_3_5!E159</f>
        <v>0</v>
      </c>
      <c r="F174" s="59" t="s">
        <v>179</v>
      </c>
      <c r="G174" s="58">
        <f>PSK_AT_verzia_4_0!G174-PSK_AT_verzia_3_5!G159</f>
        <v>0</v>
      </c>
      <c r="H174" s="58">
        <f>PSK_AT_verzia_4_0!H174-PSK_AT_verzia_3_5!H159</f>
        <v>0</v>
      </c>
      <c r="I174" s="58">
        <f>PSK_AT_verzia_4_0!I174-PSK_AT_verzia_3_5!I159</f>
        <v>0</v>
      </c>
      <c r="J174" s="58">
        <f>PSK_AT_verzia_4_0!J174-PSK_AT_verzia_3_5!J159</f>
        <v>0</v>
      </c>
      <c r="K174" s="58">
        <f>PSK_AT_verzia_4_0!K174-PSK_AT_verzia_3_5!K159</f>
        <v>0</v>
      </c>
      <c r="L174" s="58">
        <f>PSK_AT_verzia_4_0!L174-PSK_AT_verzia_3_5!L159</f>
        <v>0</v>
      </c>
      <c r="M174" s="58">
        <f>PSK_AT_verzia_4_0!M174-PSK_AT_verzia_3_5!M159</f>
        <v>0</v>
      </c>
      <c r="N174" s="58">
        <f>PSK_AT_verzia_4_0!N174-PSK_AT_verzia_3_5!N159</f>
        <v>0</v>
      </c>
      <c r="O174" s="58">
        <f>PSK_AT_verzia_4_0!O174-PSK_AT_verzia_3_5!O159</f>
        <v>0</v>
      </c>
      <c r="P174" s="58">
        <f>PSK_AT_verzia_4_0!P174-PSK_AT_verzia_3_5!P159</f>
        <v>0</v>
      </c>
      <c r="Q174" s="58">
        <f>PSK_AT_verzia_4_0!Q174-PSK_AT_verzia_3_5!Q159</f>
        <v>0</v>
      </c>
      <c r="R174" s="89"/>
      <c r="S174" s="89"/>
      <c r="T174" s="89"/>
      <c r="U174" s="89"/>
      <c r="V174" s="89"/>
    </row>
    <row r="175" spans="1:22" ht="28" customHeight="1" x14ac:dyDescent="0.35">
      <c r="A175" s="252"/>
      <c r="B175" s="215"/>
      <c r="C175" s="60">
        <f>PSK_AT_verzia_4_0!C175-PSK_AT_verzia_3_5!C160</f>
        <v>0</v>
      </c>
      <c r="D175" s="60">
        <f>PSK_AT_verzia_4_0!D175-PSK_AT_verzia_3_5!D160</f>
        <v>0</v>
      </c>
      <c r="E175" s="60">
        <f>PSK_AT_verzia_4_0!E175-PSK_AT_verzia_3_5!E160</f>
        <v>0</v>
      </c>
      <c r="F175" s="61" t="s">
        <v>172</v>
      </c>
      <c r="G175" s="60">
        <f>PSK_AT_verzia_4_0!G175-PSK_AT_verzia_3_5!G160</f>
        <v>0</v>
      </c>
      <c r="H175" s="60">
        <f>PSK_AT_verzia_4_0!H175-PSK_AT_verzia_3_5!H160</f>
        <v>0</v>
      </c>
      <c r="I175" s="60">
        <f>PSK_AT_verzia_4_0!I175-PSK_AT_verzia_3_5!I160</f>
        <v>0</v>
      </c>
      <c r="J175" s="60">
        <f>PSK_AT_verzia_4_0!J175-PSK_AT_verzia_3_5!J160</f>
        <v>0</v>
      </c>
      <c r="K175" s="60">
        <f>PSK_AT_verzia_4_0!K175-PSK_AT_verzia_3_5!K160</f>
        <v>0</v>
      </c>
      <c r="L175" s="60">
        <f>PSK_AT_verzia_4_0!L175-PSK_AT_verzia_3_5!L160</f>
        <v>0</v>
      </c>
      <c r="M175" s="60">
        <f>PSK_AT_verzia_4_0!M175-PSK_AT_verzia_3_5!M160</f>
        <v>0</v>
      </c>
      <c r="N175" s="60">
        <f>PSK_AT_verzia_4_0!N175-PSK_AT_verzia_3_5!N160</f>
        <v>0</v>
      </c>
      <c r="O175" s="60">
        <f>PSK_AT_verzia_4_0!O175-PSK_AT_verzia_3_5!O160</f>
        <v>0</v>
      </c>
      <c r="P175" s="60">
        <f>PSK_AT_verzia_4_0!P175-PSK_AT_verzia_3_5!P160</f>
        <v>0</v>
      </c>
      <c r="Q175" s="60">
        <f>PSK_AT_verzia_4_0!Q175-PSK_AT_verzia_3_5!Q160</f>
        <v>0</v>
      </c>
      <c r="R175" s="89"/>
      <c r="S175" s="89"/>
      <c r="T175" s="89"/>
      <c r="U175" s="89"/>
      <c r="V175" s="89"/>
    </row>
    <row r="176" spans="1:22" ht="28" customHeight="1" x14ac:dyDescent="0.35">
      <c r="A176" s="252"/>
      <c r="B176" s="215"/>
      <c r="C176" s="200">
        <f>PSK_AT_verzia_4_0!C176-PSK_AT_verzia_3_5!C161</f>
        <v>0</v>
      </c>
      <c r="D176" s="200">
        <f>PSK_AT_verzia_4_0!D176-PSK_AT_verzia_3_5!D161</f>
        <v>0</v>
      </c>
      <c r="E176" s="200">
        <f>PSK_AT_verzia_4_0!E176-PSK_AT_verzia_3_5!E161</f>
        <v>0</v>
      </c>
      <c r="F176" s="66" t="s">
        <v>173</v>
      </c>
      <c r="G176" s="67">
        <f>PSK_AT_verzia_4_0!G176-PSK_AT_verzia_3_5!G161</f>
        <v>0</v>
      </c>
      <c r="H176" s="67">
        <f>PSK_AT_verzia_4_0!H176-PSK_AT_verzia_3_5!H161</f>
        <v>0</v>
      </c>
      <c r="I176" s="67">
        <f>PSK_AT_verzia_4_0!I176-PSK_AT_verzia_3_5!I161</f>
        <v>0</v>
      </c>
      <c r="J176" s="67">
        <f>PSK_AT_verzia_4_0!J176-PSK_AT_verzia_3_5!J161</f>
        <v>0</v>
      </c>
      <c r="K176" s="67">
        <f>PSK_AT_verzia_4_0!K176-PSK_AT_verzia_3_5!K161</f>
        <v>0</v>
      </c>
      <c r="L176" s="67">
        <f>PSK_AT_verzia_4_0!L176-PSK_AT_verzia_3_5!L161</f>
        <v>0</v>
      </c>
      <c r="M176" s="67">
        <f>PSK_AT_verzia_4_0!M176-PSK_AT_verzia_3_5!M161</f>
        <v>0</v>
      </c>
      <c r="N176" s="67">
        <f>PSK_AT_verzia_4_0!N176-PSK_AT_verzia_3_5!N161</f>
        <v>0</v>
      </c>
      <c r="O176" s="67">
        <f>PSK_AT_verzia_4_0!O176-PSK_AT_verzia_3_5!O161</f>
        <v>0</v>
      </c>
      <c r="P176" s="67">
        <f>PSK_AT_verzia_4_0!P176-PSK_AT_verzia_3_5!P161</f>
        <v>0</v>
      </c>
      <c r="Q176" s="67">
        <f>PSK_AT_verzia_4_0!Q176-PSK_AT_verzia_3_5!Q161</f>
        <v>0</v>
      </c>
      <c r="R176" s="89"/>
      <c r="S176" s="89"/>
      <c r="T176" s="89"/>
      <c r="U176" s="89"/>
      <c r="V176" s="89"/>
    </row>
    <row r="177" spans="1:22" ht="52" x14ac:dyDescent="0.35">
      <c r="A177" s="87" t="s">
        <v>180</v>
      </c>
      <c r="B177" s="88" t="s">
        <v>181</v>
      </c>
      <c r="C177" s="52">
        <f>PSK_AT_verzia_4_0!C177-PSK_AT_verzia_3_5!C162</f>
        <v>-20111797</v>
      </c>
      <c r="D177" s="52">
        <f>PSK_AT_verzia_4_0!D177-PSK_AT_verzia_3_5!D162</f>
        <v>2700000</v>
      </c>
      <c r="E177" s="52">
        <f>PSK_AT_verzia_4_0!E177-PSK_AT_verzia_3_5!E162</f>
        <v>0</v>
      </c>
      <c r="F177" s="54" t="s">
        <v>182</v>
      </c>
      <c r="G177" s="52">
        <f>PSK_AT_verzia_4_0!G177-PSK_AT_verzia_3_5!G162</f>
        <v>-17411797</v>
      </c>
      <c r="H177" s="52">
        <f>PSK_AT_verzia_4_0!H177-PSK_AT_verzia_3_5!H162</f>
        <v>-17411797</v>
      </c>
      <c r="I177" s="52">
        <f>PSK_AT_verzia_4_0!I177-PSK_AT_verzia_3_5!I162</f>
        <v>0</v>
      </c>
      <c r="J177" s="52">
        <f>PSK_AT_verzia_4_0!J177-PSK_AT_verzia_3_5!J162</f>
        <v>-17411797</v>
      </c>
      <c r="K177" s="52">
        <f>PSK_AT_verzia_4_0!K177-PSK_AT_verzia_3_5!K162</f>
        <v>-17411797</v>
      </c>
      <c r="L177" s="52">
        <f>PSK_AT_verzia_4_0!L177-PSK_AT_verzia_3_5!L162</f>
        <v>0</v>
      </c>
      <c r="M177" s="52">
        <f>PSK_AT_verzia_4_0!M177-PSK_AT_verzia_3_5!M162</f>
        <v>0</v>
      </c>
      <c r="N177" s="52">
        <f>PSK_AT_verzia_4_0!N177-PSK_AT_verzia_3_5!N162</f>
        <v>0</v>
      </c>
      <c r="O177" s="52">
        <f>PSK_AT_verzia_4_0!O177-PSK_AT_verzia_3_5!O162</f>
        <v>0</v>
      </c>
      <c r="P177" s="52">
        <f>PSK_AT_verzia_4_0!P177-PSK_AT_verzia_3_5!P162</f>
        <v>0</v>
      </c>
      <c r="Q177" s="52">
        <f>PSK_AT_verzia_4_0!Q177-PSK_AT_verzia_3_5!Q162</f>
        <v>0</v>
      </c>
      <c r="R177" s="89"/>
      <c r="S177" s="89"/>
      <c r="T177" s="89"/>
      <c r="U177" s="89"/>
      <c r="V177" s="89"/>
    </row>
    <row r="178" spans="1:22" ht="28" customHeight="1" x14ac:dyDescent="0.35">
      <c r="A178" s="214" t="s">
        <v>183</v>
      </c>
      <c r="B178" s="215" t="s">
        <v>184</v>
      </c>
      <c r="C178" s="57">
        <f>PSK_AT_verzia_4_0!C178-PSK_AT_verzia_3_5!C163</f>
        <v>0</v>
      </c>
      <c r="D178" s="57">
        <f>PSK_AT_verzia_4_0!D178-PSK_AT_verzia_3_5!D163</f>
        <v>-5000000</v>
      </c>
      <c r="E178" s="57">
        <f>PSK_AT_verzia_4_0!E178-PSK_AT_verzia_3_5!E163</f>
        <v>0</v>
      </c>
      <c r="F178" s="59" t="s">
        <v>185</v>
      </c>
      <c r="G178" s="58">
        <f>PSK_AT_verzia_4_0!G178-PSK_AT_verzia_3_5!G163</f>
        <v>-5000000</v>
      </c>
      <c r="H178" s="58">
        <f>PSK_AT_verzia_4_0!H178-PSK_AT_verzia_3_5!H163</f>
        <v>-5000000</v>
      </c>
      <c r="I178" s="58">
        <f>PSK_AT_verzia_4_0!I178-PSK_AT_verzia_3_5!I163</f>
        <v>0</v>
      </c>
      <c r="J178" s="58">
        <f>PSK_AT_verzia_4_0!J178-PSK_AT_verzia_3_5!J163</f>
        <v>-5000000</v>
      </c>
      <c r="K178" s="58">
        <f>PSK_AT_verzia_4_0!K178-PSK_AT_verzia_3_5!K163</f>
        <v>-5000000</v>
      </c>
      <c r="L178" s="58">
        <f>PSK_AT_verzia_4_0!L178-PSK_AT_verzia_3_5!L163</f>
        <v>0</v>
      </c>
      <c r="M178" s="58">
        <f>PSK_AT_verzia_4_0!M178-PSK_AT_verzia_3_5!M163</f>
        <v>0</v>
      </c>
      <c r="N178" s="58">
        <f>PSK_AT_verzia_4_0!N178-PSK_AT_verzia_3_5!N163</f>
        <v>0</v>
      </c>
      <c r="O178" s="58">
        <f>PSK_AT_verzia_4_0!O178-PSK_AT_verzia_3_5!O163</f>
        <v>0</v>
      </c>
      <c r="P178" s="58">
        <f>PSK_AT_verzia_4_0!P178-PSK_AT_verzia_3_5!P163</f>
        <v>0</v>
      </c>
      <c r="Q178" s="58">
        <f>PSK_AT_verzia_4_0!Q178-PSK_AT_verzia_3_5!Q163</f>
        <v>0</v>
      </c>
      <c r="R178" s="89"/>
      <c r="S178" s="89"/>
      <c r="T178" s="89"/>
      <c r="U178" s="89"/>
      <c r="V178" s="89"/>
    </row>
    <row r="179" spans="1:22" ht="28" customHeight="1" x14ac:dyDescent="0.35">
      <c r="A179" s="214"/>
      <c r="B179" s="215"/>
      <c r="C179" s="60">
        <f>PSK_AT_verzia_4_0!C179-PSK_AT_verzia_3_5!C164</f>
        <v>0</v>
      </c>
      <c r="D179" s="60">
        <f>PSK_AT_verzia_4_0!D179-PSK_AT_verzia_3_5!D164</f>
        <v>0</v>
      </c>
      <c r="E179" s="60">
        <f>PSK_AT_verzia_4_0!E179-PSK_AT_verzia_3_5!E164</f>
        <v>0</v>
      </c>
      <c r="F179" s="61" t="s">
        <v>150</v>
      </c>
      <c r="G179" s="60">
        <f>PSK_AT_verzia_4_0!G179-PSK_AT_verzia_3_5!G164</f>
        <v>0</v>
      </c>
      <c r="H179" s="60">
        <f>PSK_AT_verzia_4_0!H179-PSK_AT_verzia_3_5!H164</f>
        <v>0</v>
      </c>
      <c r="I179" s="60">
        <f>PSK_AT_verzia_4_0!I179-PSK_AT_verzia_3_5!I164</f>
        <v>0</v>
      </c>
      <c r="J179" s="60">
        <f>PSK_AT_verzia_4_0!J179-PSK_AT_verzia_3_5!J164</f>
        <v>0</v>
      </c>
      <c r="K179" s="60">
        <f>PSK_AT_verzia_4_0!K179-PSK_AT_verzia_3_5!K164</f>
        <v>0</v>
      </c>
      <c r="L179" s="60">
        <f>PSK_AT_verzia_4_0!L179-PSK_AT_verzia_3_5!L164</f>
        <v>0</v>
      </c>
      <c r="M179" s="60">
        <f>PSK_AT_verzia_4_0!M179-PSK_AT_verzia_3_5!M164</f>
        <v>0</v>
      </c>
      <c r="N179" s="60">
        <f>PSK_AT_verzia_4_0!N179-PSK_AT_verzia_3_5!N164</f>
        <v>0</v>
      </c>
      <c r="O179" s="60">
        <f>PSK_AT_verzia_4_0!O179-PSK_AT_verzia_3_5!O164</f>
        <v>0</v>
      </c>
      <c r="P179" s="60">
        <f>PSK_AT_verzia_4_0!P179-PSK_AT_verzia_3_5!P164</f>
        <v>0</v>
      </c>
      <c r="Q179" s="60">
        <f>PSK_AT_verzia_4_0!Q179-PSK_AT_verzia_3_5!Q164</f>
        <v>0</v>
      </c>
    </row>
    <row r="180" spans="1:22" ht="28" customHeight="1" x14ac:dyDescent="0.35">
      <c r="A180" s="214"/>
      <c r="B180" s="215"/>
      <c r="C180" s="200">
        <f>PSK_AT_verzia_4_0!C180-PSK_AT_verzia_3_5!C165</f>
        <v>0</v>
      </c>
      <c r="D180" s="200">
        <f>PSK_AT_verzia_4_0!D180-PSK_AT_verzia_3_5!D165</f>
        <v>0</v>
      </c>
      <c r="E180" s="200">
        <f>PSK_AT_verzia_4_0!E180-PSK_AT_verzia_3_5!E165</f>
        <v>0</v>
      </c>
      <c r="F180" s="66" t="s">
        <v>151</v>
      </c>
      <c r="G180" s="67">
        <f>PSK_AT_verzia_4_0!G180-PSK_AT_verzia_3_5!G165</f>
        <v>0</v>
      </c>
      <c r="H180" s="67">
        <f>PSK_AT_verzia_4_0!H180-PSK_AT_verzia_3_5!H165</f>
        <v>0</v>
      </c>
      <c r="I180" s="67">
        <f>PSK_AT_verzia_4_0!I180-PSK_AT_verzia_3_5!I165</f>
        <v>0</v>
      </c>
      <c r="J180" s="67">
        <f>PSK_AT_verzia_4_0!J180-PSK_AT_verzia_3_5!J165</f>
        <v>0</v>
      </c>
      <c r="K180" s="67">
        <f>PSK_AT_verzia_4_0!K180-PSK_AT_verzia_3_5!K165</f>
        <v>0</v>
      </c>
      <c r="L180" s="67">
        <f>PSK_AT_verzia_4_0!L180-PSK_AT_verzia_3_5!L165</f>
        <v>0</v>
      </c>
      <c r="M180" s="67">
        <f>PSK_AT_verzia_4_0!M180-PSK_AT_verzia_3_5!M165</f>
        <v>0</v>
      </c>
      <c r="N180" s="67">
        <f>PSK_AT_verzia_4_0!N180-PSK_AT_verzia_3_5!N165</f>
        <v>0</v>
      </c>
      <c r="O180" s="67">
        <f>PSK_AT_verzia_4_0!O180-PSK_AT_verzia_3_5!O165</f>
        <v>0</v>
      </c>
      <c r="P180" s="67">
        <f>PSK_AT_verzia_4_0!P180-PSK_AT_verzia_3_5!P165</f>
        <v>0</v>
      </c>
      <c r="Q180" s="67">
        <f>PSK_AT_verzia_4_0!Q180-PSK_AT_verzia_3_5!Q165</f>
        <v>0</v>
      </c>
    </row>
    <row r="181" spans="1:22" ht="28" customHeight="1" x14ac:dyDescent="0.35">
      <c r="A181" s="214"/>
      <c r="B181" s="215"/>
      <c r="C181" s="60">
        <f>PSK_AT_verzia_4_0!C181-PSK_AT_verzia_3_5!C166</f>
        <v>0</v>
      </c>
      <c r="D181" s="102">
        <f>PSK_AT_verzia_4_0!D181-PSK_AT_verzia_3_5!D166</f>
        <v>-5000000</v>
      </c>
      <c r="E181" s="60">
        <f>PSK_AT_verzia_4_0!E181-PSK_AT_verzia_3_5!E166</f>
        <v>0</v>
      </c>
      <c r="F181" s="61" t="s">
        <v>186</v>
      </c>
      <c r="G181" s="60">
        <f>PSK_AT_verzia_4_0!G181-PSK_AT_verzia_3_5!G166</f>
        <v>-5000000</v>
      </c>
      <c r="H181" s="60">
        <f>PSK_AT_verzia_4_0!H181-PSK_AT_verzia_3_5!H166</f>
        <v>-5000000</v>
      </c>
      <c r="I181" s="60">
        <f>PSK_AT_verzia_4_0!I181-PSK_AT_verzia_3_5!I166</f>
        <v>0</v>
      </c>
      <c r="J181" s="60">
        <f>PSK_AT_verzia_4_0!J181-PSK_AT_verzia_3_5!J166</f>
        <v>-5000000</v>
      </c>
      <c r="K181" s="60">
        <f>PSK_AT_verzia_4_0!K181-PSK_AT_verzia_3_5!K166</f>
        <v>-5000000</v>
      </c>
      <c r="L181" s="60">
        <f>PSK_AT_verzia_4_0!L181-PSK_AT_verzia_3_5!L166</f>
        <v>0</v>
      </c>
      <c r="M181" s="60">
        <f>PSK_AT_verzia_4_0!M181-PSK_AT_verzia_3_5!M166</f>
        <v>0</v>
      </c>
      <c r="N181" s="60">
        <f>PSK_AT_verzia_4_0!N181-PSK_AT_verzia_3_5!N166</f>
        <v>0</v>
      </c>
      <c r="O181" s="60">
        <f>PSK_AT_verzia_4_0!O181-PSK_AT_verzia_3_5!O166</f>
        <v>0</v>
      </c>
      <c r="P181" s="60">
        <f>PSK_AT_verzia_4_0!P181-PSK_AT_verzia_3_5!P166</f>
        <v>0</v>
      </c>
      <c r="Q181" s="60">
        <f>PSK_AT_verzia_4_0!Q181-PSK_AT_verzia_3_5!Q166</f>
        <v>0</v>
      </c>
    </row>
    <row r="182" spans="1:22" ht="28" customHeight="1" x14ac:dyDescent="0.35">
      <c r="A182" s="214"/>
      <c r="B182" s="215"/>
      <c r="C182" s="200">
        <f>PSK_AT_verzia_4_0!C182-PSK_AT_verzia_3_5!C167</f>
        <v>0</v>
      </c>
      <c r="D182" s="200">
        <f>PSK_AT_verzia_4_0!D182-PSK_AT_verzia_3_5!D167</f>
        <v>0</v>
      </c>
      <c r="E182" s="200">
        <f>PSK_AT_verzia_4_0!E182-PSK_AT_verzia_3_5!E167</f>
        <v>0</v>
      </c>
      <c r="F182" s="66" t="s">
        <v>187</v>
      </c>
      <c r="G182" s="103">
        <f>PSK_AT_verzia_4_0!G182-PSK_AT_verzia_3_5!G167</f>
        <v>-5000000</v>
      </c>
      <c r="H182" s="103">
        <f>PSK_AT_verzia_4_0!H182-PSK_AT_verzia_3_5!H167</f>
        <v>-5000000</v>
      </c>
      <c r="I182" s="103">
        <f>PSK_AT_verzia_4_0!I182-PSK_AT_verzia_3_5!I167</f>
        <v>0</v>
      </c>
      <c r="J182" s="103">
        <f>PSK_AT_verzia_4_0!J182-PSK_AT_verzia_3_5!J167</f>
        <v>-5000000</v>
      </c>
      <c r="K182" s="103">
        <f>PSK_AT_verzia_4_0!K182-PSK_AT_verzia_3_5!K167</f>
        <v>-5000000</v>
      </c>
      <c r="L182" s="103">
        <f>PSK_AT_verzia_4_0!L182-PSK_AT_verzia_3_5!L167</f>
        <v>0</v>
      </c>
      <c r="M182" s="103">
        <f>PSK_AT_verzia_4_0!M182-PSK_AT_verzia_3_5!M167</f>
        <v>0</v>
      </c>
      <c r="N182" s="103">
        <f>PSK_AT_verzia_4_0!N182-PSK_AT_verzia_3_5!N167</f>
        <v>0</v>
      </c>
      <c r="O182" s="103">
        <f>PSK_AT_verzia_4_0!O182-PSK_AT_verzia_3_5!O167</f>
        <v>0</v>
      </c>
      <c r="P182" s="103">
        <f>PSK_AT_verzia_4_0!P182-PSK_AT_verzia_3_5!P167</f>
        <v>0</v>
      </c>
      <c r="Q182" s="103">
        <f>PSK_AT_verzia_4_0!Q182-PSK_AT_verzia_3_5!Q167</f>
        <v>0</v>
      </c>
    </row>
    <row r="183" spans="1:22" ht="28" customHeight="1" x14ac:dyDescent="0.35">
      <c r="A183" s="266" t="s">
        <v>188</v>
      </c>
      <c r="B183" s="215" t="s">
        <v>189</v>
      </c>
      <c r="C183" s="57">
        <f>PSK_AT_verzia_4_0!C183-PSK_AT_verzia_3_5!C168</f>
        <v>-3908654</v>
      </c>
      <c r="D183" s="57">
        <f>PSK_AT_verzia_4_0!D183-PSK_AT_verzia_3_5!D168</f>
        <v>0</v>
      </c>
      <c r="E183" s="57">
        <f>PSK_AT_verzia_4_0!E183-PSK_AT_verzia_3_5!E168</f>
        <v>0</v>
      </c>
      <c r="F183" s="59" t="s">
        <v>190</v>
      </c>
      <c r="G183" s="58">
        <f>PSK_AT_verzia_4_0!G183-PSK_AT_verzia_3_5!G168</f>
        <v>-3908654</v>
      </c>
      <c r="H183" s="58">
        <f>PSK_AT_verzia_4_0!H183-PSK_AT_verzia_3_5!H168</f>
        <v>-3908654</v>
      </c>
      <c r="I183" s="58">
        <f>PSK_AT_verzia_4_0!I183-PSK_AT_verzia_3_5!I168</f>
        <v>0</v>
      </c>
      <c r="J183" s="58">
        <f>PSK_AT_verzia_4_0!J183-PSK_AT_verzia_3_5!J168</f>
        <v>-3908654</v>
      </c>
      <c r="K183" s="58">
        <f>PSK_AT_verzia_4_0!K183-PSK_AT_verzia_3_5!K168</f>
        <v>-3908654</v>
      </c>
      <c r="L183" s="58">
        <f>PSK_AT_verzia_4_0!L183-PSK_AT_verzia_3_5!L168</f>
        <v>0</v>
      </c>
      <c r="M183" s="58">
        <f>PSK_AT_verzia_4_0!M183-PSK_AT_verzia_3_5!M168</f>
        <v>0</v>
      </c>
      <c r="N183" s="58">
        <f>PSK_AT_verzia_4_0!N183-PSK_AT_verzia_3_5!N168</f>
        <v>0</v>
      </c>
      <c r="O183" s="58">
        <f>PSK_AT_verzia_4_0!O183-PSK_AT_verzia_3_5!O168</f>
        <v>0</v>
      </c>
      <c r="P183" s="58">
        <f>PSK_AT_verzia_4_0!P183-PSK_AT_verzia_3_5!P168</f>
        <v>0</v>
      </c>
      <c r="Q183" s="58">
        <f>PSK_AT_verzia_4_0!Q183-PSK_AT_verzia_3_5!Q168</f>
        <v>0</v>
      </c>
    </row>
    <row r="184" spans="1:22" ht="28" customHeight="1" x14ac:dyDescent="0.35">
      <c r="A184" s="214"/>
      <c r="B184" s="215"/>
      <c r="C184" s="99">
        <f>PSK_AT_verzia_4_0!C184-PSK_AT_verzia_3_5!C169</f>
        <v>-3908654</v>
      </c>
      <c r="D184" s="60">
        <f>PSK_AT_verzia_4_0!D184-PSK_AT_verzia_3_5!D169</f>
        <v>0</v>
      </c>
      <c r="E184" s="60">
        <f>PSK_AT_verzia_4_0!E184-PSK_AT_verzia_3_5!E169</f>
        <v>0</v>
      </c>
      <c r="F184" s="61" t="s">
        <v>150</v>
      </c>
      <c r="G184" s="60">
        <f>PSK_AT_verzia_4_0!G184-PSK_AT_verzia_3_5!G169</f>
        <v>-3908654</v>
      </c>
      <c r="H184" s="60">
        <f>PSK_AT_verzia_4_0!H184-PSK_AT_verzia_3_5!H169</f>
        <v>-3908654</v>
      </c>
      <c r="I184" s="60">
        <f>PSK_AT_verzia_4_0!I184-PSK_AT_verzia_3_5!I169</f>
        <v>0</v>
      </c>
      <c r="J184" s="60">
        <f>PSK_AT_verzia_4_0!J184-PSK_AT_verzia_3_5!J169</f>
        <v>-3908654</v>
      </c>
      <c r="K184" s="60">
        <f>PSK_AT_verzia_4_0!K184-PSK_AT_verzia_3_5!K169</f>
        <v>-3908654</v>
      </c>
      <c r="L184" s="60">
        <f>PSK_AT_verzia_4_0!L184-PSK_AT_verzia_3_5!L169</f>
        <v>0</v>
      </c>
      <c r="M184" s="60">
        <f>PSK_AT_verzia_4_0!M184-PSK_AT_verzia_3_5!M169</f>
        <v>0</v>
      </c>
      <c r="N184" s="60">
        <f>PSK_AT_verzia_4_0!N184-PSK_AT_verzia_3_5!N169</f>
        <v>0</v>
      </c>
      <c r="O184" s="60">
        <f>PSK_AT_verzia_4_0!O184-PSK_AT_verzia_3_5!O169</f>
        <v>0</v>
      </c>
      <c r="P184" s="60">
        <f>PSK_AT_verzia_4_0!P184-PSK_AT_verzia_3_5!P169</f>
        <v>0</v>
      </c>
      <c r="Q184" s="60">
        <f>PSK_AT_verzia_4_0!Q184-PSK_AT_verzia_3_5!Q169</f>
        <v>0</v>
      </c>
    </row>
    <row r="185" spans="1:22" ht="28" customHeight="1" x14ac:dyDescent="0.35">
      <c r="A185" s="214"/>
      <c r="B185" s="215"/>
      <c r="C185" s="200">
        <f>PSK_AT_verzia_4_0!C185-PSK_AT_verzia_3_5!C170</f>
        <v>0</v>
      </c>
      <c r="D185" s="200">
        <f>PSK_AT_verzia_4_0!D185-PSK_AT_verzia_3_5!D170</f>
        <v>0</v>
      </c>
      <c r="E185" s="200">
        <f>PSK_AT_verzia_4_0!E185-PSK_AT_verzia_3_5!E170</f>
        <v>0</v>
      </c>
      <c r="F185" s="66" t="s">
        <v>151</v>
      </c>
      <c r="G185" s="67">
        <f>PSK_AT_verzia_4_0!G185-PSK_AT_verzia_3_5!G170</f>
        <v>0</v>
      </c>
      <c r="H185" s="67">
        <f>PSK_AT_verzia_4_0!H185-PSK_AT_verzia_3_5!H170</f>
        <v>0</v>
      </c>
      <c r="I185" s="67">
        <f>PSK_AT_verzia_4_0!I185-PSK_AT_verzia_3_5!I170</f>
        <v>0</v>
      </c>
      <c r="J185" s="67">
        <f>PSK_AT_verzia_4_0!J185-PSK_AT_verzia_3_5!J170</f>
        <v>0</v>
      </c>
      <c r="K185" s="67">
        <f>PSK_AT_verzia_4_0!K185-PSK_AT_verzia_3_5!K170</f>
        <v>0</v>
      </c>
      <c r="L185" s="67">
        <f>PSK_AT_verzia_4_0!L185-PSK_AT_verzia_3_5!L170</f>
        <v>0</v>
      </c>
      <c r="M185" s="67">
        <f>PSK_AT_verzia_4_0!M185-PSK_AT_verzia_3_5!M170</f>
        <v>0</v>
      </c>
      <c r="N185" s="67">
        <f>PSK_AT_verzia_4_0!N185-PSK_AT_verzia_3_5!N170</f>
        <v>0</v>
      </c>
      <c r="O185" s="67">
        <f>PSK_AT_verzia_4_0!O185-PSK_AT_verzia_3_5!O170</f>
        <v>0</v>
      </c>
      <c r="P185" s="67">
        <f>PSK_AT_verzia_4_0!P185-PSK_AT_verzia_3_5!P170</f>
        <v>0</v>
      </c>
      <c r="Q185" s="67">
        <f>PSK_AT_verzia_4_0!Q185-PSK_AT_verzia_3_5!Q170</f>
        <v>0</v>
      </c>
    </row>
    <row r="186" spans="1:22" ht="28" customHeight="1" x14ac:dyDescent="0.35">
      <c r="A186" s="214"/>
      <c r="B186" s="215"/>
      <c r="C186" s="200">
        <f>PSK_AT_verzia_4_0!C186-PSK_AT_verzia_3_5!C171</f>
        <v>0</v>
      </c>
      <c r="D186" s="200">
        <f>PSK_AT_verzia_4_0!D186-PSK_AT_verzia_3_5!D171</f>
        <v>0</v>
      </c>
      <c r="E186" s="200">
        <f>PSK_AT_verzia_4_0!E186-PSK_AT_verzia_3_5!E171</f>
        <v>0</v>
      </c>
      <c r="F186" s="66" t="s">
        <v>152</v>
      </c>
      <c r="G186" s="71">
        <f>PSK_AT_verzia_4_0!G186-PSK_AT_verzia_3_5!G171</f>
        <v>-3908654</v>
      </c>
      <c r="H186" s="71">
        <f>PSK_AT_verzia_4_0!H186-PSK_AT_verzia_3_5!H171</f>
        <v>-3908654</v>
      </c>
      <c r="I186" s="71">
        <f>PSK_AT_verzia_4_0!I186-PSK_AT_verzia_3_5!I171</f>
        <v>0</v>
      </c>
      <c r="J186" s="71">
        <f>PSK_AT_verzia_4_0!J186-PSK_AT_verzia_3_5!J171</f>
        <v>-3908654</v>
      </c>
      <c r="K186" s="71">
        <f>PSK_AT_verzia_4_0!K186-PSK_AT_verzia_3_5!K171</f>
        <v>-3908654</v>
      </c>
      <c r="L186" s="71">
        <f>PSK_AT_verzia_4_0!L186-PSK_AT_verzia_3_5!L171</f>
        <v>0</v>
      </c>
      <c r="M186" s="71">
        <f>PSK_AT_verzia_4_0!M186-PSK_AT_verzia_3_5!M171</f>
        <v>0</v>
      </c>
      <c r="N186" s="71">
        <f>PSK_AT_verzia_4_0!N186-PSK_AT_verzia_3_5!N171</f>
        <v>0</v>
      </c>
      <c r="O186" s="71">
        <f>PSK_AT_verzia_4_0!O186-PSK_AT_verzia_3_5!O171</f>
        <v>0</v>
      </c>
      <c r="P186" s="71">
        <f>PSK_AT_verzia_4_0!P186-PSK_AT_verzia_3_5!P171</f>
        <v>0</v>
      </c>
      <c r="Q186" s="71">
        <f>PSK_AT_verzia_4_0!Q186-PSK_AT_verzia_3_5!Q171</f>
        <v>0</v>
      </c>
    </row>
    <row r="187" spans="1:22" ht="28" customHeight="1" x14ac:dyDescent="0.35">
      <c r="A187" s="214"/>
      <c r="B187" s="215"/>
      <c r="C187" s="200">
        <f>PSK_AT_verzia_4_0!C187-PSK_AT_verzia_3_5!C172</f>
        <v>0</v>
      </c>
      <c r="D187" s="200">
        <f>PSK_AT_verzia_4_0!D187-PSK_AT_verzia_3_5!D172</f>
        <v>0</v>
      </c>
      <c r="E187" s="200">
        <f>PSK_AT_verzia_4_0!E187-PSK_AT_verzia_3_5!E172</f>
        <v>0</v>
      </c>
      <c r="F187" s="66" t="s">
        <v>153</v>
      </c>
      <c r="G187" s="71">
        <f>PSK_AT_verzia_4_0!G187-PSK_AT_verzia_3_5!G172</f>
        <v>0</v>
      </c>
      <c r="H187" s="71">
        <f>PSK_AT_verzia_4_0!H187-PSK_AT_verzia_3_5!H172</f>
        <v>0</v>
      </c>
      <c r="I187" s="71">
        <f>PSK_AT_verzia_4_0!I187-PSK_AT_verzia_3_5!I172</f>
        <v>0</v>
      </c>
      <c r="J187" s="71">
        <f>PSK_AT_verzia_4_0!J187-PSK_AT_verzia_3_5!J172</f>
        <v>0</v>
      </c>
      <c r="K187" s="71">
        <f>PSK_AT_verzia_4_0!K187-PSK_AT_verzia_3_5!K172</f>
        <v>0</v>
      </c>
      <c r="L187" s="71">
        <f>PSK_AT_verzia_4_0!L187-PSK_AT_verzia_3_5!L172</f>
        <v>0</v>
      </c>
      <c r="M187" s="71">
        <f>PSK_AT_verzia_4_0!M187-PSK_AT_verzia_3_5!M172</f>
        <v>0</v>
      </c>
      <c r="N187" s="71">
        <f>PSK_AT_verzia_4_0!N187-PSK_AT_verzia_3_5!N172</f>
        <v>0</v>
      </c>
      <c r="O187" s="71">
        <f>PSK_AT_verzia_4_0!O187-PSK_AT_verzia_3_5!O172</f>
        <v>0</v>
      </c>
      <c r="P187" s="71">
        <f>PSK_AT_verzia_4_0!P187-PSK_AT_verzia_3_5!P172</f>
        <v>0</v>
      </c>
      <c r="Q187" s="71">
        <f>PSK_AT_verzia_4_0!Q187-PSK_AT_verzia_3_5!Q172</f>
        <v>0</v>
      </c>
    </row>
    <row r="188" spans="1:22" ht="28" customHeight="1" x14ac:dyDescent="0.35">
      <c r="A188" s="266" t="s">
        <v>191</v>
      </c>
      <c r="B188" s="215" t="s">
        <v>192</v>
      </c>
      <c r="C188" s="57">
        <f>PSK_AT_verzia_4_0!C188-PSK_AT_verzia_3_5!C173</f>
        <v>-1449297</v>
      </c>
      <c r="D188" s="57">
        <f>PSK_AT_verzia_4_0!D188-PSK_AT_verzia_3_5!D173</f>
        <v>8000000</v>
      </c>
      <c r="E188" s="57">
        <f>PSK_AT_verzia_4_0!E188-PSK_AT_verzia_3_5!E173</f>
        <v>0</v>
      </c>
      <c r="F188" s="59" t="s">
        <v>193</v>
      </c>
      <c r="G188" s="58">
        <f>PSK_AT_verzia_4_0!G188-PSK_AT_verzia_3_5!G173</f>
        <v>6550703</v>
      </c>
      <c r="H188" s="58">
        <f>PSK_AT_verzia_4_0!H188-PSK_AT_verzia_3_5!H173</f>
        <v>6550703</v>
      </c>
      <c r="I188" s="58">
        <f>PSK_AT_verzia_4_0!I188-PSK_AT_verzia_3_5!I173</f>
        <v>0</v>
      </c>
      <c r="J188" s="58">
        <f>PSK_AT_verzia_4_0!J188-PSK_AT_verzia_3_5!J173</f>
        <v>6550703</v>
      </c>
      <c r="K188" s="58">
        <f>PSK_AT_verzia_4_0!K188-PSK_AT_verzia_3_5!K173</f>
        <v>6550703</v>
      </c>
      <c r="L188" s="58">
        <f>PSK_AT_verzia_4_0!L188-PSK_AT_verzia_3_5!L173</f>
        <v>0</v>
      </c>
      <c r="M188" s="58">
        <f>PSK_AT_verzia_4_0!M188-PSK_AT_verzia_3_5!M173</f>
        <v>0</v>
      </c>
      <c r="N188" s="58">
        <f>PSK_AT_verzia_4_0!N188-PSK_AT_verzia_3_5!N173</f>
        <v>0</v>
      </c>
      <c r="O188" s="58">
        <f>PSK_AT_verzia_4_0!O188-PSK_AT_verzia_3_5!O173</f>
        <v>0</v>
      </c>
      <c r="P188" s="58">
        <f>PSK_AT_verzia_4_0!P188-PSK_AT_verzia_3_5!P173</f>
        <v>0</v>
      </c>
      <c r="Q188" s="58">
        <f>PSK_AT_verzia_4_0!Q188-PSK_AT_verzia_3_5!Q173</f>
        <v>0</v>
      </c>
    </row>
    <row r="189" spans="1:22" s="62" customFormat="1" ht="28" customHeight="1" x14ac:dyDescent="0.35">
      <c r="A189" s="214"/>
      <c r="B189" s="215"/>
      <c r="C189" s="99">
        <f>PSK_AT_verzia_4_0!C189-PSK_AT_verzia_3_5!C174</f>
        <v>-1449297</v>
      </c>
      <c r="D189" s="60">
        <f>PSK_AT_verzia_4_0!D189-PSK_AT_verzia_3_5!D174</f>
        <v>0</v>
      </c>
      <c r="E189" s="60">
        <f>PSK_AT_verzia_4_0!E189-PSK_AT_verzia_3_5!E174</f>
        <v>0</v>
      </c>
      <c r="F189" s="61" t="s">
        <v>36</v>
      </c>
      <c r="G189" s="60">
        <f>PSK_AT_verzia_4_0!G189-PSK_AT_verzia_3_5!G174</f>
        <v>-1449297</v>
      </c>
      <c r="H189" s="60">
        <f>PSK_AT_verzia_4_0!H189-PSK_AT_verzia_3_5!H174</f>
        <v>-1449297</v>
      </c>
      <c r="I189" s="60">
        <f>PSK_AT_verzia_4_0!I189-PSK_AT_verzia_3_5!I174</f>
        <v>0</v>
      </c>
      <c r="J189" s="60">
        <f>PSK_AT_verzia_4_0!J189-PSK_AT_verzia_3_5!J174</f>
        <v>-1449297</v>
      </c>
      <c r="K189" s="60">
        <f>PSK_AT_verzia_4_0!K189-PSK_AT_verzia_3_5!K174</f>
        <v>-1449297</v>
      </c>
      <c r="L189" s="60">
        <f>PSK_AT_verzia_4_0!L189-PSK_AT_verzia_3_5!L174</f>
        <v>0</v>
      </c>
      <c r="M189" s="60">
        <f>PSK_AT_verzia_4_0!M189-PSK_AT_verzia_3_5!M174</f>
        <v>0</v>
      </c>
      <c r="N189" s="60">
        <f>PSK_AT_verzia_4_0!N189-PSK_AT_verzia_3_5!N174</f>
        <v>0</v>
      </c>
      <c r="O189" s="60">
        <f>PSK_AT_verzia_4_0!O189-PSK_AT_verzia_3_5!O174</f>
        <v>0</v>
      </c>
      <c r="P189" s="60">
        <f>PSK_AT_verzia_4_0!P189-PSK_AT_verzia_3_5!P174</f>
        <v>0</v>
      </c>
      <c r="Q189" s="60">
        <f>PSK_AT_verzia_4_0!Q189-PSK_AT_verzia_3_5!Q174</f>
        <v>0</v>
      </c>
    </row>
    <row r="190" spans="1:22" s="62" customFormat="1" ht="28" customHeight="1" x14ac:dyDescent="0.35">
      <c r="A190" s="214"/>
      <c r="B190" s="215"/>
      <c r="C190" s="200">
        <f>PSK_AT_verzia_4_0!C190-PSK_AT_verzia_3_5!C175</f>
        <v>0</v>
      </c>
      <c r="D190" s="200">
        <f>PSK_AT_verzia_4_0!D190-PSK_AT_verzia_3_5!D175</f>
        <v>0</v>
      </c>
      <c r="E190" s="200">
        <f>PSK_AT_verzia_4_0!E190-PSK_AT_verzia_3_5!E175</f>
        <v>0</v>
      </c>
      <c r="F190" s="66" t="s">
        <v>37</v>
      </c>
      <c r="G190" s="67">
        <f>PSK_AT_verzia_4_0!G190-PSK_AT_verzia_3_5!G175</f>
        <v>0</v>
      </c>
      <c r="H190" s="67">
        <f>PSK_AT_verzia_4_0!H190-PSK_AT_verzia_3_5!H175</f>
        <v>0</v>
      </c>
      <c r="I190" s="67">
        <f>PSK_AT_verzia_4_0!I190-PSK_AT_verzia_3_5!I175</f>
        <v>0</v>
      </c>
      <c r="J190" s="67">
        <f>PSK_AT_verzia_4_0!J190-PSK_AT_verzia_3_5!J175</f>
        <v>0</v>
      </c>
      <c r="K190" s="67">
        <f>PSK_AT_verzia_4_0!K190-PSK_AT_verzia_3_5!K175</f>
        <v>0</v>
      </c>
      <c r="L190" s="67">
        <f>PSK_AT_verzia_4_0!L190-PSK_AT_verzia_3_5!L175</f>
        <v>0</v>
      </c>
      <c r="M190" s="67">
        <f>PSK_AT_verzia_4_0!M190-PSK_AT_verzia_3_5!M175</f>
        <v>0</v>
      </c>
      <c r="N190" s="67">
        <f>PSK_AT_verzia_4_0!N190-PSK_AT_verzia_3_5!N175</f>
        <v>0</v>
      </c>
      <c r="O190" s="67">
        <f>PSK_AT_verzia_4_0!O190-PSK_AT_verzia_3_5!O175</f>
        <v>0</v>
      </c>
      <c r="P190" s="67">
        <f>PSK_AT_verzia_4_0!P190-PSK_AT_verzia_3_5!P175</f>
        <v>0</v>
      </c>
      <c r="Q190" s="67">
        <f>PSK_AT_verzia_4_0!Q190-PSK_AT_verzia_3_5!Q175</f>
        <v>0</v>
      </c>
    </row>
    <row r="191" spans="1:22" s="62" customFormat="1" ht="28" customHeight="1" x14ac:dyDescent="0.35">
      <c r="A191" s="214"/>
      <c r="B191" s="215"/>
      <c r="C191" s="200">
        <f>PSK_AT_verzia_4_0!C191-PSK_AT_verzia_3_5!C176</f>
        <v>0</v>
      </c>
      <c r="D191" s="200">
        <f>PSK_AT_verzia_4_0!D191-PSK_AT_verzia_3_5!D176</f>
        <v>0</v>
      </c>
      <c r="E191" s="200">
        <f>PSK_AT_verzia_4_0!E191-PSK_AT_verzia_3_5!E176</f>
        <v>0</v>
      </c>
      <c r="F191" s="66" t="s">
        <v>38</v>
      </c>
      <c r="G191" s="71">
        <f>PSK_AT_verzia_4_0!G191-PSK_AT_verzia_3_5!G176</f>
        <v>-2344199</v>
      </c>
      <c r="H191" s="71">
        <f>PSK_AT_verzia_4_0!H191-PSK_AT_verzia_3_5!H176</f>
        <v>-2344199</v>
      </c>
      <c r="I191" s="71">
        <f>PSK_AT_verzia_4_0!I191-PSK_AT_verzia_3_5!I176</f>
        <v>0</v>
      </c>
      <c r="J191" s="71">
        <f>PSK_AT_verzia_4_0!J191-PSK_AT_verzia_3_5!J176</f>
        <v>-2344199</v>
      </c>
      <c r="K191" s="71">
        <f>PSK_AT_verzia_4_0!K191-PSK_AT_verzia_3_5!K176</f>
        <v>-2344199</v>
      </c>
      <c r="L191" s="71">
        <f>PSK_AT_verzia_4_0!L191-PSK_AT_verzia_3_5!L176</f>
        <v>0</v>
      </c>
      <c r="M191" s="71">
        <f>PSK_AT_verzia_4_0!M191-PSK_AT_verzia_3_5!M176</f>
        <v>0</v>
      </c>
      <c r="N191" s="71">
        <f>PSK_AT_verzia_4_0!N191-PSK_AT_verzia_3_5!N176</f>
        <v>0</v>
      </c>
      <c r="O191" s="71">
        <f>PSK_AT_verzia_4_0!O191-PSK_AT_verzia_3_5!O176</f>
        <v>0</v>
      </c>
      <c r="P191" s="71">
        <f>PSK_AT_verzia_4_0!P191-PSK_AT_verzia_3_5!P176</f>
        <v>0</v>
      </c>
      <c r="Q191" s="71">
        <f>PSK_AT_verzia_4_0!Q191-PSK_AT_verzia_3_5!Q176</f>
        <v>0</v>
      </c>
    </row>
    <row r="192" spans="1:22" s="62" customFormat="1" ht="28" customHeight="1" x14ac:dyDescent="0.35">
      <c r="A192" s="214"/>
      <c r="B192" s="215"/>
      <c r="C192" s="200">
        <f>PSK_AT_verzia_4_0!C192-PSK_AT_verzia_3_5!C177</f>
        <v>0</v>
      </c>
      <c r="D192" s="200">
        <f>PSK_AT_verzia_4_0!D192-PSK_AT_verzia_3_5!D177</f>
        <v>0</v>
      </c>
      <c r="E192" s="200">
        <f>PSK_AT_verzia_4_0!E192-PSK_AT_verzia_3_5!E177</f>
        <v>0</v>
      </c>
      <c r="F192" s="66" t="s">
        <v>39</v>
      </c>
      <c r="G192" s="71">
        <f>PSK_AT_verzia_4_0!G192-PSK_AT_verzia_3_5!G177</f>
        <v>894902</v>
      </c>
      <c r="H192" s="71">
        <f>PSK_AT_verzia_4_0!H192-PSK_AT_verzia_3_5!H177</f>
        <v>894902</v>
      </c>
      <c r="I192" s="71">
        <f>PSK_AT_verzia_4_0!I192-PSK_AT_verzia_3_5!I177</f>
        <v>0</v>
      </c>
      <c r="J192" s="71">
        <f>PSK_AT_verzia_4_0!J192-PSK_AT_verzia_3_5!J177</f>
        <v>894902</v>
      </c>
      <c r="K192" s="71">
        <f>PSK_AT_verzia_4_0!K192-PSK_AT_verzia_3_5!K177</f>
        <v>894902</v>
      </c>
      <c r="L192" s="71">
        <f>PSK_AT_verzia_4_0!L192-PSK_AT_verzia_3_5!L177</f>
        <v>0</v>
      </c>
      <c r="M192" s="71">
        <f>PSK_AT_verzia_4_0!M192-PSK_AT_verzia_3_5!M177</f>
        <v>0</v>
      </c>
      <c r="N192" s="71">
        <f>PSK_AT_verzia_4_0!N192-PSK_AT_verzia_3_5!N177</f>
        <v>0</v>
      </c>
      <c r="O192" s="71">
        <f>PSK_AT_verzia_4_0!O192-PSK_AT_verzia_3_5!O177</f>
        <v>0</v>
      </c>
      <c r="P192" s="71">
        <f>PSK_AT_verzia_4_0!P192-PSK_AT_verzia_3_5!P177</f>
        <v>0</v>
      </c>
      <c r="Q192" s="71">
        <f>PSK_AT_verzia_4_0!Q192-PSK_AT_verzia_3_5!Q177</f>
        <v>0</v>
      </c>
    </row>
    <row r="193" spans="1:17" s="62" customFormat="1" ht="28" customHeight="1" x14ac:dyDescent="0.35">
      <c r="A193" s="214"/>
      <c r="B193" s="215"/>
      <c r="C193" s="60">
        <f>PSK_AT_verzia_4_0!C193-PSK_AT_verzia_3_5!C178</f>
        <v>0</v>
      </c>
      <c r="D193" s="102">
        <f>PSK_AT_verzia_4_0!D193-PSK_AT_verzia_3_5!D178</f>
        <v>8000000</v>
      </c>
      <c r="E193" s="60">
        <f>PSK_AT_verzia_4_0!E193-PSK_AT_verzia_3_5!E178</f>
        <v>0</v>
      </c>
      <c r="F193" s="61" t="s">
        <v>186</v>
      </c>
      <c r="G193" s="60">
        <f>PSK_AT_verzia_4_0!G193-PSK_AT_verzia_3_5!G178</f>
        <v>8000000</v>
      </c>
      <c r="H193" s="60">
        <f>PSK_AT_verzia_4_0!H193-PSK_AT_verzia_3_5!H178</f>
        <v>8000000</v>
      </c>
      <c r="I193" s="60">
        <f>PSK_AT_verzia_4_0!I193-PSK_AT_verzia_3_5!I178</f>
        <v>0</v>
      </c>
      <c r="J193" s="60">
        <f>PSK_AT_verzia_4_0!J193-PSK_AT_verzia_3_5!J178</f>
        <v>8000000</v>
      </c>
      <c r="K193" s="60">
        <f>PSK_AT_verzia_4_0!K193-PSK_AT_verzia_3_5!K178</f>
        <v>8000000</v>
      </c>
      <c r="L193" s="60">
        <f>PSK_AT_verzia_4_0!L193-PSK_AT_verzia_3_5!L178</f>
        <v>0</v>
      </c>
      <c r="M193" s="60">
        <f>PSK_AT_verzia_4_0!M193-PSK_AT_verzia_3_5!M178</f>
        <v>0</v>
      </c>
      <c r="N193" s="60">
        <f>PSK_AT_verzia_4_0!N193-PSK_AT_verzia_3_5!N178</f>
        <v>0</v>
      </c>
      <c r="O193" s="60">
        <f>PSK_AT_verzia_4_0!O193-PSK_AT_verzia_3_5!O178</f>
        <v>0</v>
      </c>
      <c r="P193" s="60">
        <f>PSK_AT_verzia_4_0!P193-PSK_AT_verzia_3_5!P178</f>
        <v>0</v>
      </c>
      <c r="Q193" s="60">
        <f>PSK_AT_verzia_4_0!Q193-PSK_AT_verzia_3_5!Q178</f>
        <v>0</v>
      </c>
    </row>
    <row r="194" spans="1:17" s="62" customFormat="1" ht="28" customHeight="1" x14ac:dyDescent="0.35">
      <c r="A194" s="214"/>
      <c r="B194" s="215"/>
      <c r="C194" s="200">
        <f>PSK_AT_verzia_4_0!C194-PSK_AT_verzia_3_5!C179</f>
        <v>0</v>
      </c>
      <c r="D194" s="200">
        <f>PSK_AT_verzia_4_0!D194-PSK_AT_verzia_3_5!D179</f>
        <v>0</v>
      </c>
      <c r="E194" s="200">
        <f>PSK_AT_verzia_4_0!E194-PSK_AT_verzia_3_5!E179</f>
        <v>0</v>
      </c>
      <c r="F194" s="66" t="s">
        <v>187</v>
      </c>
      <c r="G194" s="103">
        <f>PSK_AT_verzia_4_0!G194-PSK_AT_verzia_3_5!G179</f>
        <v>8000000</v>
      </c>
      <c r="H194" s="103">
        <f>PSK_AT_verzia_4_0!H194-PSK_AT_verzia_3_5!H179</f>
        <v>8000000</v>
      </c>
      <c r="I194" s="103">
        <f>PSK_AT_verzia_4_0!I194-PSK_AT_verzia_3_5!I179</f>
        <v>0</v>
      </c>
      <c r="J194" s="103">
        <f>PSK_AT_verzia_4_0!J194-PSK_AT_verzia_3_5!J179</f>
        <v>8000000</v>
      </c>
      <c r="K194" s="103">
        <f>PSK_AT_verzia_4_0!K194-PSK_AT_verzia_3_5!K179</f>
        <v>8000000</v>
      </c>
      <c r="L194" s="103">
        <f>PSK_AT_verzia_4_0!L194-PSK_AT_verzia_3_5!L179</f>
        <v>0</v>
      </c>
      <c r="M194" s="103">
        <f>PSK_AT_verzia_4_0!M194-PSK_AT_verzia_3_5!M179</f>
        <v>0</v>
      </c>
      <c r="N194" s="103">
        <f>PSK_AT_verzia_4_0!N194-PSK_AT_verzia_3_5!N179</f>
        <v>0</v>
      </c>
      <c r="O194" s="103">
        <f>PSK_AT_verzia_4_0!O194-PSK_AT_verzia_3_5!O179</f>
        <v>0</v>
      </c>
      <c r="P194" s="103">
        <f>PSK_AT_verzia_4_0!P194-PSK_AT_verzia_3_5!P179</f>
        <v>0</v>
      </c>
      <c r="Q194" s="103">
        <f>PSK_AT_verzia_4_0!Q194-PSK_AT_verzia_3_5!Q179</f>
        <v>0</v>
      </c>
    </row>
    <row r="195" spans="1:17" s="62" customFormat="1" ht="28" customHeight="1" x14ac:dyDescent="0.35">
      <c r="A195" s="266" t="s">
        <v>194</v>
      </c>
      <c r="B195" s="215" t="s">
        <v>195</v>
      </c>
      <c r="C195" s="57">
        <f>PSK_AT_verzia_4_0!C195-PSK_AT_verzia_3_5!C180</f>
        <v>-2142901</v>
      </c>
      <c r="D195" s="57">
        <f>PSK_AT_verzia_4_0!D195-PSK_AT_verzia_3_5!D180</f>
        <v>-3800000</v>
      </c>
      <c r="E195" s="57">
        <f>PSK_AT_verzia_4_0!E195-PSK_AT_verzia_3_5!E180</f>
        <v>0</v>
      </c>
      <c r="F195" s="59" t="s">
        <v>196</v>
      </c>
      <c r="G195" s="58">
        <f>PSK_AT_verzia_4_0!G195-PSK_AT_verzia_3_5!G180</f>
        <v>-5942901</v>
      </c>
      <c r="H195" s="58">
        <f>PSK_AT_verzia_4_0!H195-PSK_AT_verzia_3_5!H180</f>
        <v>-5942901</v>
      </c>
      <c r="I195" s="58">
        <f>PSK_AT_verzia_4_0!I195-PSK_AT_verzia_3_5!I180</f>
        <v>0</v>
      </c>
      <c r="J195" s="58">
        <f>PSK_AT_verzia_4_0!J195-PSK_AT_verzia_3_5!J180</f>
        <v>-5942901</v>
      </c>
      <c r="K195" s="58">
        <f>PSK_AT_verzia_4_0!K195-PSK_AT_verzia_3_5!K180</f>
        <v>-5942901</v>
      </c>
      <c r="L195" s="58">
        <f>PSK_AT_verzia_4_0!L195-PSK_AT_verzia_3_5!L180</f>
        <v>0</v>
      </c>
      <c r="M195" s="58">
        <f>PSK_AT_verzia_4_0!M195-PSK_AT_verzia_3_5!M180</f>
        <v>0</v>
      </c>
      <c r="N195" s="58">
        <f>PSK_AT_verzia_4_0!N195-PSK_AT_verzia_3_5!N180</f>
        <v>0</v>
      </c>
      <c r="O195" s="58">
        <f>PSK_AT_verzia_4_0!O195-PSK_AT_verzia_3_5!O180</f>
        <v>0</v>
      </c>
      <c r="P195" s="58">
        <f>PSK_AT_verzia_4_0!P195-PSK_AT_verzia_3_5!P180</f>
        <v>0</v>
      </c>
      <c r="Q195" s="58">
        <f>PSK_AT_verzia_4_0!Q195-PSK_AT_verzia_3_5!Q180</f>
        <v>0</v>
      </c>
    </row>
    <row r="196" spans="1:17" ht="28" customHeight="1" x14ac:dyDescent="0.35">
      <c r="A196" s="214"/>
      <c r="B196" s="215"/>
      <c r="C196" s="99">
        <f>PSK_AT_verzia_4_0!C196-PSK_AT_verzia_3_5!C181</f>
        <v>-2142901</v>
      </c>
      <c r="D196" s="60">
        <f>PSK_AT_verzia_4_0!D196-PSK_AT_verzia_3_5!D181</f>
        <v>0</v>
      </c>
      <c r="E196" s="60">
        <f>PSK_AT_verzia_4_0!E196-PSK_AT_verzia_3_5!E181</f>
        <v>0</v>
      </c>
      <c r="F196" s="61" t="s">
        <v>150</v>
      </c>
      <c r="G196" s="60">
        <f>PSK_AT_verzia_4_0!G196-PSK_AT_verzia_3_5!G181</f>
        <v>-2142901</v>
      </c>
      <c r="H196" s="60">
        <f>PSK_AT_verzia_4_0!H196-PSK_AT_verzia_3_5!H181</f>
        <v>-2142901</v>
      </c>
      <c r="I196" s="60">
        <f>PSK_AT_verzia_4_0!I196-PSK_AT_verzia_3_5!I181</f>
        <v>0</v>
      </c>
      <c r="J196" s="60">
        <f>PSK_AT_verzia_4_0!J196-PSK_AT_verzia_3_5!J181</f>
        <v>-2142901</v>
      </c>
      <c r="K196" s="60">
        <f>PSK_AT_verzia_4_0!K196-PSK_AT_verzia_3_5!K181</f>
        <v>-2142901</v>
      </c>
      <c r="L196" s="60">
        <f>PSK_AT_verzia_4_0!L196-PSK_AT_verzia_3_5!L181</f>
        <v>0</v>
      </c>
      <c r="M196" s="60">
        <f>PSK_AT_verzia_4_0!M196-PSK_AT_verzia_3_5!M181</f>
        <v>0</v>
      </c>
      <c r="N196" s="60">
        <f>PSK_AT_verzia_4_0!N196-PSK_AT_verzia_3_5!N181</f>
        <v>0</v>
      </c>
      <c r="O196" s="60">
        <f>PSK_AT_verzia_4_0!O196-PSK_AT_verzia_3_5!O181</f>
        <v>0</v>
      </c>
      <c r="P196" s="60">
        <f>PSK_AT_verzia_4_0!P196-PSK_AT_verzia_3_5!P181</f>
        <v>0</v>
      </c>
      <c r="Q196" s="60">
        <f>PSK_AT_verzia_4_0!Q196-PSK_AT_verzia_3_5!Q181</f>
        <v>0</v>
      </c>
    </row>
    <row r="197" spans="1:17" ht="28" customHeight="1" x14ac:dyDescent="0.35">
      <c r="A197" s="214"/>
      <c r="B197" s="215"/>
      <c r="C197" s="200">
        <f>PSK_AT_verzia_4_0!C197-PSK_AT_verzia_3_5!C182</f>
        <v>0</v>
      </c>
      <c r="D197" s="200">
        <f>PSK_AT_verzia_4_0!D197-PSK_AT_verzia_3_5!D182</f>
        <v>0</v>
      </c>
      <c r="E197" s="200">
        <f>PSK_AT_verzia_4_0!E197-PSK_AT_verzia_3_5!E182</f>
        <v>0</v>
      </c>
      <c r="F197" s="66" t="s">
        <v>151</v>
      </c>
      <c r="G197" s="67">
        <f>PSK_AT_verzia_4_0!G197-PSK_AT_verzia_3_5!G182</f>
        <v>0</v>
      </c>
      <c r="H197" s="67">
        <f>PSK_AT_verzia_4_0!H197-PSK_AT_verzia_3_5!H182</f>
        <v>0</v>
      </c>
      <c r="I197" s="67">
        <f>PSK_AT_verzia_4_0!I197-PSK_AT_verzia_3_5!I182</f>
        <v>0</v>
      </c>
      <c r="J197" s="67">
        <f>PSK_AT_verzia_4_0!J197-PSK_AT_verzia_3_5!J182</f>
        <v>0</v>
      </c>
      <c r="K197" s="67">
        <f>PSK_AT_verzia_4_0!K197-PSK_AT_verzia_3_5!K182</f>
        <v>0</v>
      </c>
      <c r="L197" s="67">
        <f>PSK_AT_verzia_4_0!L197-PSK_AT_verzia_3_5!L182</f>
        <v>0</v>
      </c>
      <c r="M197" s="67">
        <f>PSK_AT_verzia_4_0!M197-PSK_AT_verzia_3_5!M182</f>
        <v>0</v>
      </c>
      <c r="N197" s="67">
        <f>PSK_AT_verzia_4_0!N197-PSK_AT_verzia_3_5!N182</f>
        <v>0</v>
      </c>
      <c r="O197" s="67">
        <f>PSK_AT_verzia_4_0!O197-PSK_AT_verzia_3_5!O182</f>
        <v>0</v>
      </c>
      <c r="P197" s="67">
        <f>PSK_AT_verzia_4_0!P197-PSK_AT_verzia_3_5!P182</f>
        <v>0</v>
      </c>
      <c r="Q197" s="67">
        <f>PSK_AT_verzia_4_0!Q197-PSK_AT_verzia_3_5!Q182</f>
        <v>0</v>
      </c>
    </row>
    <row r="198" spans="1:17" ht="28" customHeight="1" x14ac:dyDescent="0.35">
      <c r="A198" s="214"/>
      <c r="B198" s="215"/>
      <c r="C198" s="200">
        <f>PSK_AT_verzia_4_0!C198-PSK_AT_verzia_3_5!C183</f>
        <v>0</v>
      </c>
      <c r="D198" s="200">
        <f>PSK_AT_verzia_4_0!D198-PSK_AT_verzia_3_5!D183</f>
        <v>0</v>
      </c>
      <c r="E198" s="200">
        <f>PSK_AT_verzia_4_0!E198-PSK_AT_verzia_3_5!E183</f>
        <v>0</v>
      </c>
      <c r="F198" s="66" t="s">
        <v>152</v>
      </c>
      <c r="G198" s="71">
        <f>PSK_AT_verzia_4_0!G198-PSK_AT_verzia_3_5!G183</f>
        <v>-2142901</v>
      </c>
      <c r="H198" s="71">
        <f>PSK_AT_verzia_4_0!H198-PSK_AT_verzia_3_5!H183</f>
        <v>-2142901</v>
      </c>
      <c r="I198" s="71">
        <f>PSK_AT_verzia_4_0!I198-PSK_AT_verzia_3_5!I183</f>
        <v>0</v>
      </c>
      <c r="J198" s="71">
        <f>PSK_AT_verzia_4_0!J198-PSK_AT_verzia_3_5!J183</f>
        <v>-2142901</v>
      </c>
      <c r="K198" s="71">
        <f>PSK_AT_verzia_4_0!K198-PSK_AT_verzia_3_5!K183</f>
        <v>-2142901</v>
      </c>
      <c r="L198" s="71">
        <f>PSK_AT_verzia_4_0!L198-PSK_AT_verzia_3_5!L183</f>
        <v>0</v>
      </c>
      <c r="M198" s="71">
        <f>PSK_AT_verzia_4_0!M198-PSK_AT_verzia_3_5!M183</f>
        <v>0</v>
      </c>
      <c r="N198" s="71">
        <f>PSK_AT_verzia_4_0!N198-PSK_AT_verzia_3_5!N183</f>
        <v>0</v>
      </c>
      <c r="O198" s="71">
        <f>PSK_AT_verzia_4_0!O198-PSK_AT_verzia_3_5!O183</f>
        <v>0</v>
      </c>
      <c r="P198" s="71">
        <f>PSK_AT_verzia_4_0!P198-PSK_AT_verzia_3_5!P183</f>
        <v>0</v>
      </c>
      <c r="Q198" s="71">
        <f>PSK_AT_verzia_4_0!Q198-PSK_AT_verzia_3_5!Q183</f>
        <v>0</v>
      </c>
    </row>
    <row r="199" spans="1:17" ht="28" customHeight="1" x14ac:dyDescent="0.35">
      <c r="A199" s="214"/>
      <c r="B199" s="215"/>
      <c r="C199" s="200">
        <f>PSK_AT_verzia_4_0!C199-PSK_AT_verzia_3_5!C184</f>
        <v>0</v>
      </c>
      <c r="D199" s="200">
        <f>PSK_AT_verzia_4_0!D199-PSK_AT_verzia_3_5!D184</f>
        <v>0</v>
      </c>
      <c r="E199" s="200">
        <f>PSK_AT_verzia_4_0!E199-PSK_AT_verzia_3_5!E184</f>
        <v>0</v>
      </c>
      <c r="F199" s="66" t="s">
        <v>153</v>
      </c>
      <c r="G199" s="71">
        <f>PSK_AT_verzia_4_0!G199-PSK_AT_verzia_3_5!G184</f>
        <v>0</v>
      </c>
      <c r="H199" s="71">
        <f>PSK_AT_verzia_4_0!H199-PSK_AT_verzia_3_5!H184</f>
        <v>0</v>
      </c>
      <c r="I199" s="71">
        <f>PSK_AT_verzia_4_0!I199-PSK_AT_verzia_3_5!I184</f>
        <v>0</v>
      </c>
      <c r="J199" s="71">
        <f>PSK_AT_verzia_4_0!J199-PSK_AT_verzia_3_5!J184</f>
        <v>0</v>
      </c>
      <c r="K199" s="71">
        <f>PSK_AT_verzia_4_0!K199-PSK_AT_verzia_3_5!K184</f>
        <v>0</v>
      </c>
      <c r="L199" s="71">
        <f>PSK_AT_verzia_4_0!L199-PSK_AT_verzia_3_5!L184</f>
        <v>0</v>
      </c>
      <c r="M199" s="71">
        <f>PSK_AT_verzia_4_0!M199-PSK_AT_verzia_3_5!M184</f>
        <v>0</v>
      </c>
      <c r="N199" s="71">
        <f>PSK_AT_verzia_4_0!N199-PSK_AT_verzia_3_5!N184</f>
        <v>0</v>
      </c>
      <c r="O199" s="71">
        <f>PSK_AT_verzia_4_0!O199-PSK_AT_verzia_3_5!O184</f>
        <v>0</v>
      </c>
      <c r="P199" s="71">
        <f>PSK_AT_verzia_4_0!P199-PSK_AT_verzia_3_5!P184</f>
        <v>0</v>
      </c>
      <c r="Q199" s="71">
        <f>PSK_AT_verzia_4_0!Q199-PSK_AT_verzia_3_5!Q184</f>
        <v>0</v>
      </c>
    </row>
    <row r="200" spans="1:17" ht="28" customHeight="1" x14ac:dyDescent="0.35">
      <c r="A200" s="214"/>
      <c r="B200" s="215"/>
      <c r="C200" s="60">
        <f>PSK_AT_verzia_4_0!C200-PSK_AT_verzia_3_5!C185</f>
        <v>0</v>
      </c>
      <c r="D200" s="102">
        <f>PSK_AT_verzia_4_0!D200-PSK_AT_verzia_3_5!D185</f>
        <v>-3800000</v>
      </c>
      <c r="E200" s="60">
        <f>PSK_AT_verzia_4_0!E200-PSK_AT_verzia_3_5!E185</f>
        <v>0</v>
      </c>
      <c r="F200" s="61" t="s">
        <v>186</v>
      </c>
      <c r="G200" s="60">
        <f>PSK_AT_verzia_4_0!G200-PSK_AT_verzia_3_5!G185</f>
        <v>-3800000</v>
      </c>
      <c r="H200" s="60">
        <f>PSK_AT_verzia_4_0!H200-PSK_AT_verzia_3_5!H185</f>
        <v>-3800000</v>
      </c>
      <c r="I200" s="60">
        <f>PSK_AT_verzia_4_0!I200-PSK_AT_verzia_3_5!I185</f>
        <v>0</v>
      </c>
      <c r="J200" s="60">
        <f>PSK_AT_verzia_4_0!J200-PSK_AT_verzia_3_5!J185</f>
        <v>-3800000</v>
      </c>
      <c r="K200" s="60">
        <f>PSK_AT_verzia_4_0!K200-PSK_AT_verzia_3_5!K185</f>
        <v>-3800000</v>
      </c>
      <c r="L200" s="60">
        <f>PSK_AT_verzia_4_0!L200-PSK_AT_verzia_3_5!L185</f>
        <v>0</v>
      </c>
      <c r="M200" s="60">
        <f>PSK_AT_verzia_4_0!M200-PSK_AT_verzia_3_5!M185</f>
        <v>0</v>
      </c>
      <c r="N200" s="60">
        <f>PSK_AT_verzia_4_0!N200-PSK_AT_verzia_3_5!N185</f>
        <v>0</v>
      </c>
      <c r="O200" s="60">
        <f>PSK_AT_verzia_4_0!O200-PSK_AT_verzia_3_5!O185</f>
        <v>0</v>
      </c>
      <c r="P200" s="60">
        <f>PSK_AT_verzia_4_0!P200-PSK_AT_verzia_3_5!P185</f>
        <v>0</v>
      </c>
      <c r="Q200" s="60">
        <f>PSK_AT_verzia_4_0!Q200-PSK_AT_verzia_3_5!Q185</f>
        <v>0</v>
      </c>
    </row>
    <row r="201" spans="1:17" ht="28" customHeight="1" x14ac:dyDescent="0.35">
      <c r="A201" s="214"/>
      <c r="B201" s="215"/>
      <c r="C201" s="200">
        <f>PSK_AT_verzia_4_0!C201-PSK_AT_verzia_3_5!C186</f>
        <v>0</v>
      </c>
      <c r="D201" s="200">
        <f>PSK_AT_verzia_4_0!D201-PSK_AT_verzia_3_5!D186</f>
        <v>0</v>
      </c>
      <c r="E201" s="200">
        <f>PSK_AT_verzia_4_0!E201-PSK_AT_verzia_3_5!E186</f>
        <v>0</v>
      </c>
      <c r="F201" s="66" t="s">
        <v>187</v>
      </c>
      <c r="G201" s="103">
        <f>PSK_AT_verzia_4_0!G201-PSK_AT_verzia_3_5!G186</f>
        <v>-3800000</v>
      </c>
      <c r="H201" s="103">
        <f>PSK_AT_verzia_4_0!H201-PSK_AT_verzia_3_5!H186</f>
        <v>-3800000</v>
      </c>
      <c r="I201" s="103">
        <f>PSK_AT_verzia_4_0!I201-PSK_AT_verzia_3_5!I186</f>
        <v>0</v>
      </c>
      <c r="J201" s="103">
        <f>PSK_AT_verzia_4_0!J201-PSK_AT_verzia_3_5!J186</f>
        <v>-3800000</v>
      </c>
      <c r="K201" s="103">
        <f>PSK_AT_verzia_4_0!K201-PSK_AT_verzia_3_5!K186</f>
        <v>-3800000</v>
      </c>
      <c r="L201" s="103">
        <f>PSK_AT_verzia_4_0!L201-PSK_AT_verzia_3_5!L186</f>
        <v>0</v>
      </c>
      <c r="M201" s="103">
        <f>PSK_AT_verzia_4_0!M201-PSK_AT_verzia_3_5!M186</f>
        <v>0</v>
      </c>
      <c r="N201" s="103">
        <f>PSK_AT_verzia_4_0!N201-PSK_AT_verzia_3_5!N186</f>
        <v>0</v>
      </c>
      <c r="O201" s="103">
        <f>PSK_AT_verzia_4_0!O201-PSK_AT_verzia_3_5!O186</f>
        <v>0</v>
      </c>
      <c r="P201" s="103">
        <f>PSK_AT_verzia_4_0!P201-PSK_AT_verzia_3_5!P186</f>
        <v>0</v>
      </c>
      <c r="Q201" s="103">
        <f>PSK_AT_verzia_4_0!Q201-PSK_AT_verzia_3_5!Q186</f>
        <v>0</v>
      </c>
    </row>
    <row r="202" spans="1:17" ht="28" customHeight="1" x14ac:dyDescent="0.35">
      <c r="A202" s="266" t="s">
        <v>197</v>
      </c>
      <c r="B202" s="215" t="s">
        <v>198</v>
      </c>
      <c r="C202" s="57">
        <f>PSK_AT_verzia_4_0!C202-PSK_AT_verzia_3_5!C187</f>
        <v>-1539914</v>
      </c>
      <c r="D202" s="57">
        <f>PSK_AT_verzia_4_0!D202-PSK_AT_verzia_3_5!D187</f>
        <v>3500000</v>
      </c>
      <c r="E202" s="57">
        <f>PSK_AT_verzia_4_0!E202-PSK_AT_verzia_3_5!E187</f>
        <v>0</v>
      </c>
      <c r="F202" s="59" t="s">
        <v>199</v>
      </c>
      <c r="G202" s="58">
        <f>PSK_AT_verzia_4_0!G202-PSK_AT_verzia_3_5!G187</f>
        <v>1960086</v>
      </c>
      <c r="H202" s="58">
        <f>PSK_AT_verzia_4_0!H202-PSK_AT_verzia_3_5!H187</f>
        <v>1960086</v>
      </c>
      <c r="I202" s="58">
        <f>PSK_AT_verzia_4_0!I202-PSK_AT_verzia_3_5!I187</f>
        <v>0</v>
      </c>
      <c r="J202" s="58">
        <f>PSK_AT_verzia_4_0!J202-PSK_AT_verzia_3_5!J187</f>
        <v>1960086</v>
      </c>
      <c r="K202" s="58">
        <f>PSK_AT_verzia_4_0!K202-PSK_AT_verzia_3_5!K187</f>
        <v>1960086</v>
      </c>
      <c r="L202" s="58">
        <f>PSK_AT_verzia_4_0!L202-PSK_AT_verzia_3_5!L187</f>
        <v>0</v>
      </c>
      <c r="M202" s="58">
        <f>PSK_AT_verzia_4_0!M202-PSK_AT_verzia_3_5!M187</f>
        <v>0</v>
      </c>
      <c r="N202" s="58">
        <f>PSK_AT_verzia_4_0!N202-PSK_AT_verzia_3_5!N187</f>
        <v>0</v>
      </c>
      <c r="O202" s="58">
        <f>PSK_AT_verzia_4_0!O202-PSK_AT_verzia_3_5!O187</f>
        <v>0</v>
      </c>
      <c r="P202" s="58">
        <f>PSK_AT_verzia_4_0!P202-PSK_AT_verzia_3_5!P187</f>
        <v>0</v>
      </c>
      <c r="Q202" s="58">
        <f>PSK_AT_verzia_4_0!Q202-PSK_AT_verzia_3_5!Q187</f>
        <v>0</v>
      </c>
    </row>
    <row r="203" spans="1:17" s="62" customFormat="1" ht="28" customHeight="1" x14ac:dyDescent="0.35">
      <c r="A203" s="214"/>
      <c r="B203" s="215"/>
      <c r="C203" s="99">
        <f>PSK_AT_verzia_4_0!C203-PSK_AT_verzia_3_5!C188</f>
        <v>-1539914</v>
      </c>
      <c r="D203" s="60">
        <f>PSK_AT_verzia_4_0!D203-PSK_AT_verzia_3_5!D188</f>
        <v>0</v>
      </c>
      <c r="E203" s="60">
        <f>PSK_AT_verzia_4_0!E203-PSK_AT_verzia_3_5!E188</f>
        <v>0</v>
      </c>
      <c r="F203" s="61" t="s">
        <v>36</v>
      </c>
      <c r="G203" s="60">
        <f>PSK_AT_verzia_4_0!G203-PSK_AT_verzia_3_5!G188</f>
        <v>-1539914</v>
      </c>
      <c r="H203" s="60">
        <f>PSK_AT_verzia_4_0!H203-PSK_AT_verzia_3_5!H188</f>
        <v>-1539914</v>
      </c>
      <c r="I203" s="60">
        <f>PSK_AT_verzia_4_0!I203-PSK_AT_verzia_3_5!I188</f>
        <v>0</v>
      </c>
      <c r="J203" s="60">
        <f>PSK_AT_verzia_4_0!J203-PSK_AT_verzia_3_5!J188</f>
        <v>-1539914</v>
      </c>
      <c r="K203" s="60">
        <f>PSK_AT_verzia_4_0!K203-PSK_AT_verzia_3_5!K188</f>
        <v>-1539914</v>
      </c>
      <c r="L203" s="60">
        <f>PSK_AT_verzia_4_0!L203-PSK_AT_verzia_3_5!L188</f>
        <v>0</v>
      </c>
      <c r="M203" s="60">
        <f>PSK_AT_verzia_4_0!M203-PSK_AT_verzia_3_5!M188</f>
        <v>0</v>
      </c>
      <c r="N203" s="60">
        <f>PSK_AT_verzia_4_0!N203-PSK_AT_verzia_3_5!N188</f>
        <v>0</v>
      </c>
      <c r="O203" s="60">
        <f>PSK_AT_verzia_4_0!O203-PSK_AT_verzia_3_5!O188</f>
        <v>0</v>
      </c>
      <c r="P203" s="60">
        <f>PSK_AT_verzia_4_0!P203-PSK_AT_verzia_3_5!P188</f>
        <v>0</v>
      </c>
      <c r="Q203" s="60">
        <f>PSK_AT_verzia_4_0!Q203-PSK_AT_verzia_3_5!Q188</f>
        <v>0</v>
      </c>
    </row>
    <row r="204" spans="1:17" s="62" customFormat="1" ht="28" customHeight="1" x14ac:dyDescent="0.35">
      <c r="A204" s="214"/>
      <c r="B204" s="215"/>
      <c r="C204" s="200">
        <f>PSK_AT_verzia_4_0!C204-PSK_AT_verzia_3_5!C189</f>
        <v>0</v>
      </c>
      <c r="D204" s="200">
        <f>PSK_AT_verzia_4_0!D204-PSK_AT_verzia_3_5!D189</f>
        <v>0</v>
      </c>
      <c r="E204" s="200">
        <f>PSK_AT_verzia_4_0!E204-PSK_AT_verzia_3_5!E189</f>
        <v>0</v>
      </c>
      <c r="F204" s="66" t="s">
        <v>37</v>
      </c>
      <c r="G204" s="67">
        <f>PSK_AT_verzia_4_0!G204-PSK_AT_verzia_3_5!G189</f>
        <v>0</v>
      </c>
      <c r="H204" s="67">
        <f>PSK_AT_verzia_4_0!H204-PSK_AT_verzia_3_5!H189</f>
        <v>0</v>
      </c>
      <c r="I204" s="67">
        <f>PSK_AT_verzia_4_0!I204-PSK_AT_verzia_3_5!I189</f>
        <v>0</v>
      </c>
      <c r="J204" s="67">
        <f>PSK_AT_verzia_4_0!J204-PSK_AT_verzia_3_5!J189</f>
        <v>0</v>
      </c>
      <c r="K204" s="67">
        <f>PSK_AT_verzia_4_0!K204-PSK_AT_verzia_3_5!K189</f>
        <v>0</v>
      </c>
      <c r="L204" s="67">
        <f>PSK_AT_verzia_4_0!L204-PSK_AT_verzia_3_5!L189</f>
        <v>0</v>
      </c>
      <c r="M204" s="67">
        <f>PSK_AT_verzia_4_0!M204-PSK_AT_verzia_3_5!M189</f>
        <v>0</v>
      </c>
      <c r="N204" s="67">
        <f>PSK_AT_verzia_4_0!N204-PSK_AT_verzia_3_5!N189</f>
        <v>0</v>
      </c>
      <c r="O204" s="67">
        <f>PSK_AT_verzia_4_0!O204-PSK_AT_verzia_3_5!O189</f>
        <v>0</v>
      </c>
      <c r="P204" s="67">
        <f>PSK_AT_verzia_4_0!P204-PSK_AT_verzia_3_5!P189</f>
        <v>0</v>
      </c>
      <c r="Q204" s="67">
        <f>PSK_AT_verzia_4_0!Q204-PSK_AT_verzia_3_5!Q189</f>
        <v>0</v>
      </c>
    </row>
    <row r="205" spans="1:17" s="62" customFormat="1" ht="28" customHeight="1" x14ac:dyDescent="0.35">
      <c r="A205" s="214"/>
      <c r="B205" s="215"/>
      <c r="C205" s="200">
        <f>PSK_AT_verzia_4_0!C205-PSK_AT_verzia_3_5!C190</f>
        <v>0</v>
      </c>
      <c r="D205" s="200">
        <f>PSK_AT_verzia_4_0!D205-PSK_AT_verzia_3_5!D190</f>
        <v>0</v>
      </c>
      <c r="E205" s="200">
        <f>PSK_AT_verzia_4_0!E205-PSK_AT_verzia_3_5!E190</f>
        <v>0</v>
      </c>
      <c r="F205" s="66" t="s">
        <v>38</v>
      </c>
      <c r="G205" s="71">
        <f>PSK_AT_verzia_4_0!G205-PSK_AT_verzia_3_5!G190</f>
        <v>-1539914</v>
      </c>
      <c r="H205" s="71">
        <f>PSK_AT_verzia_4_0!H205-PSK_AT_verzia_3_5!H190</f>
        <v>-1539914</v>
      </c>
      <c r="I205" s="71">
        <f>PSK_AT_verzia_4_0!I205-PSK_AT_verzia_3_5!I190</f>
        <v>0</v>
      </c>
      <c r="J205" s="71">
        <f>PSK_AT_verzia_4_0!J205-PSK_AT_verzia_3_5!J190</f>
        <v>-1539914</v>
      </c>
      <c r="K205" s="71">
        <f>PSK_AT_verzia_4_0!K205-PSK_AT_verzia_3_5!K190</f>
        <v>-1539914</v>
      </c>
      <c r="L205" s="71">
        <f>PSK_AT_verzia_4_0!L205-PSK_AT_verzia_3_5!L190</f>
        <v>0</v>
      </c>
      <c r="M205" s="71">
        <f>PSK_AT_verzia_4_0!M205-PSK_AT_verzia_3_5!M190</f>
        <v>0</v>
      </c>
      <c r="N205" s="71">
        <f>PSK_AT_verzia_4_0!N205-PSK_AT_verzia_3_5!N190</f>
        <v>0</v>
      </c>
      <c r="O205" s="71">
        <f>PSK_AT_verzia_4_0!O205-PSK_AT_verzia_3_5!O190</f>
        <v>0</v>
      </c>
      <c r="P205" s="71">
        <f>PSK_AT_verzia_4_0!P205-PSK_AT_verzia_3_5!P190</f>
        <v>0</v>
      </c>
      <c r="Q205" s="71">
        <f>PSK_AT_verzia_4_0!Q205-PSK_AT_verzia_3_5!Q190</f>
        <v>0</v>
      </c>
    </row>
    <row r="206" spans="1:17" s="62" customFormat="1" ht="28" customHeight="1" x14ac:dyDescent="0.35">
      <c r="A206" s="214"/>
      <c r="B206" s="215"/>
      <c r="C206" s="200">
        <f>PSK_AT_verzia_4_0!C206-PSK_AT_verzia_3_5!C191</f>
        <v>0</v>
      </c>
      <c r="D206" s="200">
        <f>PSK_AT_verzia_4_0!D206-PSK_AT_verzia_3_5!D191</f>
        <v>0</v>
      </c>
      <c r="E206" s="200">
        <f>PSK_AT_verzia_4_0!E206-PSK_AT_verzia_3_5!E191</f>
        <v>0</v>
      </c>
      <c r="F206" s="66" t="s">
        <v>39</v>
      </c>
      <c r="G206" s="71">
        <f>PSK_AT_verzia_4_0!G206-PSK_AT_verzia_3_5!G191</f>
        <v>0</v>
      </c>
      <c r="H206" s="71">
        <f>PSK_AT_verzia_4_0!H206-PSK_AT_verzia_3_5!H191</f>
        <v>0</v>
      </c>
      <c r="I206" s="71">
        <f>PSK_AT_verzia_4_0!I206-PSK_AT_verzia_3_5!I191</f>
        <v>0</v>
      </c>
      <c r="J206" s="71">
        <f>PSK_AT_verzia_4_0!J206-PSK_AT_verzia_3_5!J191</f>
        <v>0</v>
      </c>
      <c r="K206" s="71">
        <f>PSK_AT_verzia_4_0!K206-PSK_AT_verzia_3_5!K191</f>
        <v>0</v>
      </c>
      <c r="L206" s="71">
        <f>PSK_AT_verzia_4_0!L206-PSK_AT_verzia_3_5!L191</f>
        <v>0</v>
      </c>
      <c r="M206" s="71">
        <f>PSK_AT_verzia_4_0!M206-PSK_AT_verzia_3_5!M191</f>
        <v>0</v>
      </c>
      <c r="N206" s="71">
        <f>PSK_AT_verzia_4_0!N206-PSK_AT_verzia_3_5!N191</f>
        <v>0</v>
      </c>
      <c r="O206" s="71">
        <f>PSK_AT_verzia_4_0!O206-PSK_AT_verzia_3_5!O191</f>
        <v>0</v>
      </c>
      <c r="P206" s="71">
        <f>PSK_AT_verzia_4_0!P206-PSK_AT_verzia_3_5!P191</f>
        <v>0</v>
      </c>
      <c r="Q206" s="71">
        <f>PSK_AT_verzia_4_0!Q206-PSK_AT_verzia_3_5!Q191</f>
        <v>0</v>
      </c>
    </row>
    <row r="207" spans="1:17" s="62" customFormat="1" ht="28" customHeight="1" x14ac:dyDescent="0.35">
      <c r="A207" s="214"/>
      <c r="B207" s="215"/>
      <c r="C207" s="60">
        <f>PSK_AT_verzia_4_0!C207-PSK_AT_verzia_3_5!C192</f>
        <v>0</v>
      </c>
      <c r="D207" s="102">
        <f>PSK_AT_verzia_4_0!D207-PSK_AT_verzia_3_5!D192</f>
        <v>3500000</v>
      </c>
      <c r="E207" s="60">
        <f>PSK_AT_verzia_4_0!E207-PSK_AT_verzia_3_5!E192</f>
        <v>0</v>
      </c>
      <c r="F207" s="61" t="s">
        <v>186</v>
      </c>
      <c r="G207" s="60">
        <f>PSK_AT_verzia_4_0!G207-PSK_AT_verzia_3_5!G192</f>
        <v>3500000</v>
      </c>
      <c r="H207" s="60">
        <f>PSK_AT_verzia_4_0!H207-PSK_AT_verzia_3_5!H192</f>
        <v>3500000</v>
      </c>
      <c r="I207" s="60">
        <f>PSK_AT_verzia_4_0!I207-PSK_AT_verzia_3_5!I192</f>
        <v>0</v>
      </c>
      <c r="J207" s="60">
        <f>PSK_AT_verzia_4_0!J207-PSK_AT_verzia_3_5!J192</f>
        <v>3500000</v>
      </c>
      <c r="K207" s="60">
        <f>PSK_AT_verzia_4_0!K207-PSK_AT_verzia_3_5!K192</f>
        <v>3500000</v>
      </c>
      <c r="L207" s="60">
        <f>PSK_AT_verzia_4_0!L207-PSK_AT_verzia_3_5!L192</f>
        <v>0</v>
      </c>
      <c r="M207" s="60">
        <f>PSK_AT_verzia_4_0!M207-PSK_AT_verzia_3_5!M192</f>
        <v>0</v>
      </c>
      <c r="N207" s="60">
        <f>PSK_AT_verzia_4_0!N207-PSK_AT_verzia_3_5!N192</f>
        <v>0</v>
      </c>
      <c r="O207" s="60">
        <f>PSK_AT_verzia_4_0!O207-PSK_AT_verzia_3_5!O192</f>
        <v>0</v>
      </c>
      <c r="P207" s="60">
        <f>PSK_AT_verzia_4_0!P207-PSK_AT_verzia_3_5!P192</f>
        <v>0</v>
      </c>
      <c r="Q207" s="60">
        <f>PSK_AT_verzia_4_0!Q207-PSK_AT_verzia_3_5!Q192</f>
        <v>0</v>
      </c>
    </row>
    <row r="208" spans="1:17" s="62" customFormat="1" ht="28" customHeight="1" x14ac:dyDescent="0.35">
      <c r="A208" s="214"/>
      <c r="B208" s="215"/>
      <c r="C208" s="200">
        <f>PSK_AT_verzia_4_0!C208-PSK_AT_verzia_3_5!C193</f>
        <v>0</v>
      </c>
      <c r="D208" s="200">
        <f>PSK_AT_verzia_4_0!D208-PSK_AT_verzia_3_5!D193</f>
        <v>0</v>
      </c>
      <c r="E208" s="200">
        <f>PSK_AT_verzia_4_0!E208-PSK_AT_verzia_3_5!E193</f>
        <v>0</v>
      </c>
      <c r="F208" s="66" t="s">
        <v>187</v>
      </c>
      <c r="G208" s="103">
        <f>PSK_AT_verzia_4_0!G208-PSK_AT_verzia_3_5!G193</f>
        <v>3500000</v>
      </c>
      <c r="H208" s="103">
        <f>PSK_AT_verzia_4_0!H208-PSK_AT_verzia_3_5!H193</f>
        <v>3500000</v>
      </c>
      <c r="I208" s="103">
        <f>PSK_AT_verzia_4_0!I208-PSK_AT_verzia_3_5!I193</f>
        <v>0</v>
      </c>
      <c r="J208" s="103">
        <f>PSK_AT_verzia_4_0!J208-PSK_AT_verzia_3_5!J193</f>
        <v>3500000</v>
      </c>
      <c r="K208" s="103">
        <f>PSK_AT_verzia_4_0!K208-PSK_AT_verzia_3_5!K193</f>
        <v>3500000</v>
      </c>
      <c r="L208" s="103">
        <f>PSK_AT_verzia_4_0!L208-PSK_AT_verzia_3_5!L193</f>
        <v>0</v>
      </c>
      <c r="M208" s="103">
        <f>PSK_AT_verzia_4_0!M208-PSK_AT_verzia_3_5!M193</f>
        <v>0</v>
      </c>
      <c r="N208" s="103">
        <f>PSK_AT_verzia_4_0!N208-PSK_AT_verzia_3_5!N193</f>
        <v>0</v>
      </c>
      <c r="O208" s="103">
        <f>PSK_AT_verzia_4_0!O208-PSK_AT_verzia_3_5!O193</f>
        <v>0</v>
      </c>
      <c r="P208" s="103">
        <f>PSK_AT_verzia_4_0!P208-PSK_AT_verzia_3_5!P193</f>
        <v>0</v>
      </c>
      <c r="Q208" s="103">
        <f>PSK_AT_verzia_4_0!Q208-PSK_AT_verzia_3_5!Q193</f>
        <v>0</v>
      </c>
    </row>
    <row r="209" spans="1:17" s="62" customFormat="1" ht="28" customHeight="1" x14ac:dyDescent="0.35">
      <c r="A209" s="266" t="s">
        <v>200</v>
      </c>
      <c r="B209" s="215" t="s">
        <v>201</v>
      </c>
      <c r="C209" s="57">
        <f>PSK_AT_verzia_4_0!C209-PSK_AT_verzia_3_5!C194</f>
        <v>0</v>
      </c>
      <c r="D209" s="57">
        <f>PSK_AT_verzia_4_0!D209-PSK_AT_verzia_3_5!D194</f>
        <v>0</v>
      </c>
      <c r="E209" s="57">
        <f>PSK_AT_verzia_4_0!E209-PSK_AT_verzia_3_5!E194</f>
        <v>0</v>
      </c>
      <c r="F209" s="59" t="s">
        <v>202</v>
      </c>
      <c r="G209" s="58">
        <f>PSK_AT_verzia_4_0!G209-PSK_AT_verzia_3_5!G194</f>
        <v>0</v>
      </c>
      <c r="H209" s="58">
        <f>PSK_AT_verzia_4_0!H209-PSK_AT_verzia_3_5!H194</f>
        <v>0</v>
      </c>
      <c r="I209" s="58">
        <f>PSK_AT_verzia_4_0!I209-PSK_AT_verzia_3_5!I194</f>
        <v>0</v>
      </c>
      <c r="J209" s="58">
        <f>PSK_AT_verzia_4_0!J209-PSK_AT_verzia_3_5!J194</f>
        <v>0</v>
      </c>
      <c r="K209" s="58">
        <f>PSK_AT_verzia_4_0!K209-PSK_AT_verzia_3_5!K194</f>
        <v>0</v>
      </c>
      <c r="L209" s="58">
        <f>PSK_AT_verzia_4_0!L209-PSK_AT_verzia_3_5!L194</f>
        <v>0</v>
      </c>
      <c r="M209" s="58">
        <f>PSK_AT_verzia_4_0!M209-PSK_AT_verzia_3_5!M194</f>
        <v>0</v>
      </c>
      <c r="N209" s="58">
        <f>PSK_AT_verzia_4_0!N209-PSK_AT_verzia_3_5!N194</f>
        <v>0</v>
      </c>
      <c r="O209" s="58">
        <f>PSK_AT_verzia_4_0!O209-PSK_AT_verzia_3_5!O194</f>
        <v>0</v>
      </c>
      <c r="P209" s="58">
        <f>PSK_AT_verzia_4_0!P209-PSK_AT_verzia_3_5!P194</f>
        <v>0</v>
      </c>
      <c r="Q209" s="58">
        <f>PSK_AT_verzia_4_0!Q209-PSK_AT_verzia_3_5!Q194</f>
        <v>0</v>
      </c>
    </row>
    <row r="210" spans="1:17" ht="28" customHeight="1" x14ac:dyDescent="0.35">
      <c r="A210" s="214"/>
      <c r="B210" s="215"/>
      <c r="C210" s="19">
        <f>PSK_AT_verzia_4_0!C210-PSK_AT_verzia_3_5!C195</f>
        <v>0</v>
      </c>
      <c r="D210" s="19">
        <f>PSK_AT_verzia_4_0!D210-PSK_AT_verzia_3_5!D195</f>
        <v>0</v>
      </c>
      <c r="E210" s="19">
        <f>PSK_AT_verzia_4_0!E210-PSK_AT_verzia_3_5!E195</f>
        <v>0</v>
      </c>
      <c r="F210" s="61" t="s">
        <v>150</v>
      </c>
      <c r="G210" s="60">
        <f>PSK_AT_verzia_4_0!G210-PSK_AT_verzia_3_5!G195</f>
        <v>0</v>
      </c>
      <c r="H210" s="60">
        <f>PSK_AT_verzia_4_0!H210-PSK_AT_verzia_3_5!H195</f>
        <v>0</v>
      </c>
      <c r="I210" s="60">
        <f>PSK_AT_verzia_4_0!I210-PSK_AT_verzia_3_5!I195</f>
        <v>0</v>
      </c>
      <c r="J210" s="60">
        <f>PSK_AT_verzia_4_0!J210-PSK_AT_verzia_3_5!J195</f>
        <v>0</v>
      </c>
      <c r="K210" s="60">
        <f>PSK_AT_verzia_4_0!K210-PSK_AT_verzia_3_5!K195</f>
        <v>0</v>
      </c>
      <c r="L210" s="60">
        <f>PSK_AT_verzia_4_0!L210-PSK_AT_verzia_3_5!L195</f>
        <v>0</v>
      </c>
      <c r="M210" s="60">
        <f>PSK_AT_verzia_4_0!M210-PSK_AT_verzia_3_5!M195</f>
        <v>0</v>
      </c>
      <c r="N210" s="60">
        <f>PSK_AT_verzia_4_0!N210-PSK_AT_verzia_3_5!N195</f>
        <v>0</v>
      </c>
      <c r="O210" s="60">
        <f>PSK_AT_verzia_4_0!O210-PSK_AT_verzia_3_5!O195</f>
        <v>0</v>
      </c>
      <c r="P210" s="60">
        <f>PSK_AT_verzia_4_0!P210-PSK_AT_verzia_3_5!P195</f>
        <v>0</v>
      </c>
      <c r="Q210" s="60">
        <f>PSK_AT_verzia_4_0!Q210-PSK_AT_verzia_3_5!Q195</f>
        <v>0</v>
      </c>
    </row>
    <row r="211" spans="1:17" ht="28" customHeight="1" x14ac:dyDescent="0.35">
      <c r="A211" s="214"/>
      <c r="B211" s="215"/>
      <c r="C211" s="200">
        <f>PSK_AT_verzia_4_0!C211-PSK_AT_verzia_3_5!C196</f>
        <v>0</v>
      </c>
      <c r="D211" s="200">
        <f>PSK_AT_verzia_4_0!D211-PSK_AT_verzia_3_5!D196</f>
        <v>0</v>
      </c>
      <c r="E211" s="200">
        <f>PSK_AT_verzia_4_0!E211-PSK_AT_verzia_3_5!E196</f>
        <v>0</v>
      </c>
      <c r="F211" s="66" t="s">
        <v>151</v>
      </c>
      <c r="G211" s="67">
        <f>PSK_AT_verzia_4_0!G211-PSK_AT_verzia_3_5!G196</f>
        <v>0</v>
      </c>
      <c r="H211" s="67">
        <f>PSK_AT_verzia_4_0!H211-PSK_AT_verzia_3_5!H196</f>
        <v>0</v>
      </c>
      <c r="I211" s="67">
        <f>PSK_AT_verzia_4_0!I211-PSK_AT_verzia_3_5!I196</f>
        <v>0</v>
      </c>
      <c r="J211" s="67">
        <f>PSK_AT_verzia_4_0!J211-PSK_AT_verzia_3_5!J196</f>
        <v>0</v>
      </c>
      <c r="K211" s="67">
        <f>PSK_AT_verzia_4_0!K211-PSK_AT_verzia_3_5!K196</f>
        <v>0</v>
      </c>
      <c r="L211" s="67">
        <f>PSK_AT_verzia_4_0!L211-PSK_AT_verzia_3_5!L196</f>
        <v>0</v>
      </c>
      <c r="M211" s="67">
        <f>PSK_AT_verzia_4_0!M211-PSK_AT_verzia_3_5!M196</f>
        <v>0</v>
      </c>
      <c r="N211" s="67">
        <f>PSK_AT_verzia_4_0!N211-PSK_AT_verzia_3_5!N196</f>
        <v>0</v>
      </c>
      <c r="O211" s="67">
        <f>PSK_AT_verzia_4_0!O211-PSK_AT_verzia_3_5!O196</f>
        <v>0</v>
      </c>
      <c r="P211" s="67">
        <f>PSK_AT_verzia_4_0!P211-PSK_AT_verzia_3_5!P196</f>
        <v>0</v>
      </c>
      <c r="Q211" s="67">
        <f>PSK_AT_verzia_4_0!Q211-PSK_AT_verzia_3_5!Q196</f>
        <v>0</v>
      </c>
    </row>
    <row r="212" spans="1:17" ht="28" customHeight="1" x14ac:dyDescent="0.35">
      <c r="A212" s="266" t="s">
        <v>203</v>
      </c>
      <c r="B212" s="215" t="s">
        <v>204</v>
      </c>
      <c r="C212" s="57">
        <f>PSK_AT_verzia_4_0!C212-PSK_AT_verzia_3_5!C197</f>
        <v>-5789270</v>
      </c>
      <c r="D212" s="57">
        <f>PSK_AT_verzia_4_0!D212-PSK_AT_verzia_3_5!D197</f>
        <v>0</v>
      </c>
      <c r="E212" s="57">
        <f>PSK_AT_verzia_4_0!E212-PSK_AT_verzia_3_5!E197</f>
        <v>0</v>
      </c>
      <c r="F212" s="59" t="s">
        <v>205</v>
      </c>
      <c r="G212" s="58">
        <f>PSK_AT_verzia_4_0!G212-PSK_AT_verzia_3_5!G197</f>
        <v>-5789270</v>
      </c>
      <c r="H212" s="58">
        <f>PSK_AT_verzia_4_0!H212-PSK_AT_verzia_3_5!H197</f>
        <v>-5789270</v>
      </c>
      <c r="I212" s="58">
        <f>PSK_AT_verzia_4_0!I212-PSK_AT_verzia_3_5!I197</f>
        <v>0</v>
      </c>
      <c r="J212" s="58">
        <f>PSK_AT_verzia_4_0!J212-PSK_AT_verzia_3_5!J197</f>
        <v>-5789270</v>
      </c>
      <c r="K212" s="58">
        <f>PSK_AT_verzia_4_0!K212-PSK_AT_verzia_3_5!K197</f>
        <v>-5789270</v>
      </c>
      <c r="L212" s="58">
        <f>PSK_AT_verzia_4_0!L212-PSK_AT_verzia_3_5!L197</f>
        <v>0</v>
      </c>
      <c r="M212" s="58">
        <f>PSK_AT_verzia_4_0!M212-PSK_AT_verzia_3_5!M197</f>
        <v>0</v>
      </c>
      <c r="N212" s="58">
        <f>PSK_AT_verzia_4_0!N212-PSK_AT_verzia_3_5!N197</f>
        <v>0</v>
      </c>
      <c r="O212" s="58">
        <f>PSK_AT_verzia_4_0!O212-PSK_AT_verzia_3_5!O197</f>
        <v>0</v>
      </c>
      <c r="P212" s="58">
        <f>PSK_AT_verzia_4_0!P212-PSK_AT_verzia_3_5!P197</f>
        <v>0</v>
      </c>
      <c r="Q212" s="58">
        <f>PSK_AT_verzia_4_0!Q212-PSK_AT_verzia_3_5!Q197</f>
        <v>0</v>
      </c>
    </row>
    <row r="213" spans="1:17" ht="28" customHeight="1" x14ac:dyDescent="0.35">
      <c r="A213" s="214"/>
      <c r="B213" s="215"/>
      <c r="C213" s="60">
        <f>PSK_AT_verzia_4_0!C213-PSK_AT_verzia_3_5!C198</f>
        <v>-5789270</v>
      </c>
      <c r="D213" s="60">
        <f>PSK_AT_verzia_4_0!D213-PSK_AT_verzia_3_5!D198</f>
        <v>0</v>
      </c>
      <c r="E213" s="60">
        <f>PSK_AT_verzia_4_0!E213-PSK_AT_verzia_3_5!E198</f>
        <v>0</v>
      </c>
      <c r="F213" s="61" t="s">
        <v>150</v>
      </c>
      <c r="G213" s="60">
        <f>PSK_AT_verzia_4_0!G213-PSK_AT_verzia_3_5!G198</f>
        <v>-5789270</v>
      </c>
      <c r="H213" s="60">
        <f>PSK_AT_verzia_4_0!H213-PSK_AT_verzia_3_5!H198</f>
        <v>-5789270</v>
      </c>
      <c r="I213" s="60">
        <f>PSK_AT_verzia_4_0!I213-PSK_AT_verzia_3_5!I198</f>
        <v>0</v>
      </c>
      <c r="J213" s="60">
        <f>PSK_AT_verzia_4_0!J213-PSK_AT_verzia_3_5!J198</f>
        <v>-5789270</v>
      </c>
      <c r="K213" s="60">
        <f>PSK_AT_verzia_4_0!K213-PSK_AT_verzia_3_5!K198</f>
        <v>-5789270</v>
      </c>
      <c r="L213" s="60">
        <f>PSK_AT_verzia_4_0!L213-PSK_AT_verzia_3_5!L198</f>
        <v>0</v>
      </c>
      <c r="M213" s="60">
        <f>PSK_AT_verzia_4_0!M213-PSK_AT_verzia_3_5!M198</f>
        <v>0</v>
      </c>
      <c r="N213" s="60">
        <f>PSK_AT_verzia_4_0!N213-PSK_AT_verzia_3_5!N198</f>
        <v>0</v>
      </c>
      <c r="O213" s="60">
        <f>PSK_AT_verzia_4_0!O213-PSK_AT_verzia_3_5!O198</f>
        <v>0</v>
      </c>
      <c r="P213" s="60">
        <f>PSK_AT_verzia_4_0!P213-PSK_AT_verzia_3_5!P198</f>
        <v>0</v>
      </c>
      <c r="Q213" s="60">
        <f>PSK_AT_verzia_4_0!Q213-PSK_AT_verzia_3_5!Q198</f>
        <v>0</v>
      </c>
    </row>
    <row r="214" spans="1:17" ht="28" customHeight="1" x14ac:dyDescent="0.35">
      <c r="A214" s="214"/>
      <c r="B214" s="215"/>
      <c r="C214" s="200">
        <f>PSK_AT_verzia_4_0!C214-PSK_AT_verzia_3_5!C199</f>
        <v>0</v>
      </c>
      <c r="D214" s="200">
        <f>PSK_AT_verzia_4_0!D214-PSK_AT_verzia_3_5!D199</f>
        <v>0</v>
      </c>
      <c r="E214" s="200">
        <f>PSK_AT_verzia_4_0!E214-PSK_AT_verzia_3_5!E199</f>
        <v>0</v>
      </c>
      <c r="F214" s="66" t="s">
        <v>151</v>
      </c>
      <c r="G214" s="67">
        <f>PSK_AT_verzia_4_0!G214-PSK_AT_verzia_3_5!G199</f>
        <v>0</v>
      </c>
      <c r="H214" s="67">
        <f>PSK_AT_verzia_4_0!H214-PSK_AT_verzia_3_5!H199</f>
        <v>0</v>
      </c>
      <c r="I214" s="67">
        <f>PSK_AT_verzia_4_0!I214-PSK_AT_verzia_3_5!I199</f>
        <v>0</v>
      </c>
      <c r="J214" s="67">
        <f>PSK_AT_verzia_4_0!J214-PSK_AT_verzia_3_5!J199</f>
        <v>0</v>
      </c>
      <c r="K214" s="67">
        <f>PSK_AT_verzia_4_0!K214-PSK_AT_verzia_3_5!K199</f>
        <v>0</v>
      </c>
      <c r="L214" s="67">
        <f>PSK_AT_verzia_4_0!L214-PSK_AT_verzia_3_5!L199</f>
        <v>0</v>
      </c>
      <c r="M214" s="67">
        <f>PSK_AT_verzia_4_0!M214-PSK_AT_verzia_3_5!M199</f>
        <v>0</v>
      </c>
      <c r="N214" s="67">
        <f>PSK_AT_verzia_4_0!N214-PSK_AT_verzia_3_5!N199</f>
        <v>0</v>
      </c>
      <c r="O214" s="67">
        <f>PSK_AT_verzia_4_0!O214-PSK_AT_verzia_3_5!O199</f>
        <v>0</v>
      </c>
      <c r="P214" s="67">
        <f>PSK_AT_verzia_4_0!P214-PSK_AT_verzia_3_5!P199</f>
        <v>0</v>
      </c>
      <c r="Q214" s="67">
        <f>PSK_AT_verzia_4_0!Q214-PSK_AT_verzia_3_5!Q199</f>
        <v>0</v>
      </c>
    </row>
    <row r="215" spans="1:17" ht="28" customHeight="1" x14ac:dyDescent="0.35">
      <c r="A215" s="214"/>
      <c r="B215" s="215"/>
      <c r="C215" s="200">
        <f>PSK_AT_verzia_4_0!C215-PSK_AT_verzia_3_5!C200</f>
        <v>0</v>
      </c>
      <c r="D215" s="200">
        <f>PSK_AT_verzia_4_0!D215-PSK_AT_verzia_3_5!D200</f>
        <v>0</v>
      </c>
      <c r="E215" s="200">
        <f>PSK_AT_verzia_4_0!E215-PSK_AT_verzia_3_5!E200</f>
        <v>0</v>
      </c>
      <c r="F215" s="66" t="s">
        <v>152</v>
      </c>
      <c r="G215" s="71">
        <f>PSK_AT_verzia_4_0!G215-PSK_AT_verzia_3_5!G200</f>
        <v>-4143005</v>
      </c>
      <c r="H215" s="71">
        <f>PSK_AT_verzia_4_0!H215-PSK_AT_verzia_3_5!H200</f>
        <v>-4143005</v>
      </c>
      <c r="I215" s="71">
        <f>PSK_AT_verzia_4_0!I215-PSK_AT_verzia_3_5!I200</f>
        <v>0</v>
      </c>
      <c r="J215" s="71">
        <f>PSK_AT_verzia_4_0!J215-PSK_AT_verzia_3_5!J200</f>
        <v>-4143005</v>
      </c>
      <c r="K215" s="71">
        <f>PSK_AT_verzia_4_0!K215-PSK_AT_verzia_3_5!K200</f>
        <v>-4143005</v>
      </c>
      <c r="L215" s="71">
        <f>PSK_AT_verzia_4_0!L215-PSK_AT_verzia_3_5!L200</f>
        <v>0</v>
      </c>
      <c r="M215" s="71">
        <f>PSK_AT_verzia_4_0!M215-PSK_AT_verzia_3_5!M200</f>
        <v>0</v>
      </c>
      <c r="N215" s="71">
        <f>PSK_AT_verzia_4_0!N215-PSK_AT_verzia_3_5!N200</f>
        <v>0</v>
      </c>
      <c r="O215" s="71">
        <f>PSK_AT_verzia_4_0!O215-PSK_AT_verzia_3_5!O200</f>
        <v>0</v>
      </c>
      <c r="P215" s="71">
        <f>PSK_AT_verzia_4_0!P215-PSK_AT_verzia_3_5!P200</f>
        <v>0</v>
      </c>
      <c r="Q215" s="71">
        <f>PSK_AT_verzia_4_0!Q215-PSK_AT_verzia_3_5!Q200</f>
        <v>0</v>
      </c>
    </row>
    <row r="216" spans="1:17" ht="28" customHeight="1" x14ac:dyDescent="0.35">
      <c r="A216" s="214"/>
      <c r="B216" s="215"/>
      <c r="C216" s="200">
        <f>PSK_AT_verzia_4_0!C216-PSK_AT_verzia_3_5!C201</f>
        <v>0</v>
      </c>
      <c r="D216" s="200">
        <f>PSK_AT_verzia_4_0!D216-PSK_AT_verzia_3_5!D201</f>
        <v>0</v>
      </c>
      <c r="E216" s="200">
        <f>PSK_AT_verzia_4_0!E216-PSK_AT_verzia_3_5!E201</f>
        <v>0</v>
      </c>
      <c r="F216" s="66" t="s">
        <v>153</v>
      </c>
      <c r="G216" s="71">
        <f>PSK_AT_verzia_4_0!G216-PSK_AT_verzia_3_5!G201</f>
        <v>-1646265</v>
      </c>
      <c r="H216" s="71">
        <f>PSK_AT_verzia_4_0!H216-PSK_AT_verzia_3_5!H201</f>
        <v>-1646265</v>
      </c>
      <c r="I216" s="71">
        <f>PSK_AT_verzia_4_0!I216-PSK_AT_verzia_3_5!I201</f>
        <v>0</v>
      </c>
      <c r="J216" s="71">
        <f>PSK_AT_verzia_4_0!J216-PSK_AT_verzia_3_5!J201</f>
        <v>-1646265</v>
      </c>
      <c r="K216" s="71">
        <f>PSK_AT_verzia_4_0!K216-PSK_AT_verzia_3_5!K201</f>
        <v>-1646265</v>
      </c>
      <c r="L216" s="71">
        <f>PSK_AT_verzia_4_0!L216-PSK_AT_verzia_3_5!L201</f>
        <v>0</v>
      </c>
      <c r="M216" s="71">
        <f>PSK_AT_verzia_4_0!M216-PSK_AT_verzia_3_5!M201</f>
        <v>0</v>
      </c>
      <c r="N216" s="71">
        <f>PSK_AT_verzia_4_0!N216-PSK_AT_verzia_3_5!N201</f>
        <v>0</v>
      </c>
      <c r="O216" s="71">
        <f>PSK_AT_verzia_4_0!O216-PSK_AT_verzia_3_5!O201</f>
        <v>0</v>
      </c>
      <c r="P216" s="71">
        <f>PSK_AT_verzia_4_0!P216-PSK_AT_verzia_3_5!P201</f>
        <v>0</v>
      </c>
      <c r="Q216" s="71">
        <f>PSK_AT_verzia_4_0!Q216-PSK_AT_verzia_3_5!Q201</f>
        <v>0</v>
      </c>
    </row>
    <row r="217" spans="1:17" ht="28" customHeight="1" x14ac:dyDescent="0.35">
      <c r="A217" s="263" t="s">
        <v>206</v>
      </c>
      <c r="B217" s="215" t="s">
        <v>207</v>
      </c>
      <c r="C217" s="57">
        <f>PSK_AT_verzia_4_0!C217-PSK_AT_verzia_3_5!C202</f>
        <v>-5281761</v>
      </c>
      <c r="D217" s="57">
        <f>PSK_AT_verzia_4_0!D217-PSK_AT_verzia_3_5!D202</f>
        <v>0</v>
      </c>
      <c r="E217" s="57">
        <f>PSK_AT_verzia_4_0!E217-PSK_AT_verzia_3_5!E202</f>
        <v>0</v>
      </c>
      <c r="F217" s="59" t="s">
        <v>208</v>
      </c>
      <c r="G217" s="58">
        <f>PSK_AT_verzia_4_0!G217-PSK_AT_verzia_3_5!G202</f>
        <v>-5281761</v>
      </c>
      <c r="H217" s="58">
        <f>PSK_AT_verzia_4_0!H217-PSK_AT_verzia_3_5!H202</f>
        <v>-5281761</v>
      </c>
      <c r="I217" s="58">
        <f>PSK_AT_verzia_4_0!I217-PSK_AT_verzia_3_5!I202</f>
        <v>0</v>
      </c>
      <c r="J217" s="58">
        <f>PSK_AT_verzia_4_0!J217-PSK_AT_verzia_3_5!J202</f>
        <v>-5281761</v>
      </c>
      <c r="K217" s="58">
        <f>PSK_AT_verzia_4_0!K217-PSK_AT_verzia_3_5!K202</f>
        <v>-5281761</v>
      </c>
      <c r="L217" s="58">
        <f>PSK_AT_verzia_4_0!L217-PSK_AT_verzia_3_5!L202</f>
        <v>0</v>
      </c>
      <c r="M217" s="58">
        <f>PSK_AT_verzia_4_0!M217-PSK_AT_verzia_3_5!M202</f>
        <v>0</v>
      </c>
      <c r="N217" s="58">
        <f>PSK_AT_verzia_4_0!N217-PSK_AT_verzia_3_5!N202</f>
        <v>0</v>
      </c>
      <c r="O217" s="58">
        <f>PSK_AT_verzia_4_0!O217-PSK_AT_verzia_3_5!O202</f>
        <v>0</v>
      </c>
      <c r="P217" s="58">
        <f>PSK_AT_verzia_4_0!P217-PSK_AT_verzia_3_5!P202</f>
        <v>0</v>
      </c>
      <c r="Q217" s="58">
        <f>PSK_AT_verzia_4_0!Q217-PSK_AT_verzia_3_5!Q202</f>
        <v>0</v>
      </c>
    </row>
    <row r="218" spans="1:17" ht="28" customHeight="1" x14ac:dyDescent="0.35">
      <c r="A218" s="252"/>
      <c r="B218" s="215"/>
      <c r="C218" s="60">
        <f>PSK_AT_verzia_4_0!C218-PSK_AT_verzia_3_5!C203</f>
        <v>-5281761</v>
      </c>
      <c r="D218" s="60">
        <f>PSK_AT_verzia_4_0!D218-PSK_AT_verzia_3_5!D203</f>
        <v>0</v>
      </c>
      <c r="E218" s="60">
        <f>PSK_AT_verzia_4_0!E218-PSK_AT_verzia_3_5!E203</f>
        <v>0</v>
      </c>
      <c r="F218" s="61" t="s">
        <v>150</v>
      </c>
      <c r="G218" s="60">
        <f>PSK_AT_verzia_4_0!G218-PSK_AT_verzia_3_5!G203</f>
        <v>-5281761</v>
      </c>
      <c r="H218" s="60">
        <f>PSK_AT_verzia_4_0!H218-PSK_AT_verzia_3_5!H203</f>
        <v>-5281761</v>
      </c>
      <c r="I218" s="60">
        <f>PSK_AT_verzia_4_0!I218-PSK_AT_verzia_3_5!I203</f>
        <v>0</v>
      </c>
      <c r="J218" s="60">
        <f>PSK_AT_verzia_4_0!J218-PSK_AT_verzia_3_5!J203</f>
        <v>-5281761</v>
      </c>
      <c r="K218" s="60">
        <f>PSK_AT_verzia_4_0!K218-PSK_AT_verzia_3_5!K203</f>
        <v>-5281761</v>
      </c>
      <c r="L218" s="60">
        <f>PSK_AT_verzia_4_0!L218-PSK_AT_verzia_3_5!L203</f>
        <v>0</v>
      </c>
      <c r="M218" s="60">
        <f>PSK_AT_verzia_4_0!M218-PSK_AT_verzia_3_5!M203</f>
        <v>0</v>
      </c>
      <c r="N218" s="60">
        <f>PSK_AT_verzia_4_0!N218-PSK_AT_verzia_3_5!N203</f>
        <v>0</v>
      </c>
      <c r="O218" s="60">
        <f>PSK_AT_verzia_4_0!O218-PSK_AT_verzia_3_5!O203</f>
        <v>0</v>
      </c>
      <c r="P218" s="60">
        <f>PSK_AT_verzia_4_0!P218-PSK_AT_verzia_3_5!P203</f>
        <v>0</v>
      </c>
      <c r="Q218" s="60">
        <f>PSK_AT_verzia_4_0!Q218-PSK_AT_verzia_3_5!Q203</f>
        <v>0</v>
      </c>
    </row>
    <row r="219" spans="1:17" ht="28" customHeight="1" x14ac:dyDescent="0.35">
      <c r="A219" s="252"/>
      <c r="B219" s="215"/>
      <c r="C219" s="200">
        <f>PSK_AT_verzia_4_0!C219-PSK_AT_verzia_3_5!C204</f>
        <v>0</v>
      </c>
      <c r="D219" s="200">
        <f>PSK_AT_verzia_4_0!D219-PSK_AT_verzia_3_5!D204</f>
        <v>0</v>
      </c>
      <c r="E219" s="200">
        <f>PSK_AT_verzia_4_0!E219-PSK_AT_verzia_3_5!E204</f>
        <v>0</v>
      </c>
      <c r="F219" s="66" t="s">
        <v>151</v>
      </c>
      <c r="G219" s="67">
        <f>PSK_AT_verzia_4_0!G219-PSK_AT_verzia_3_5!G204</f>
        <v>0</v>
      </c>
      <c r="H219" s="67">
        <f>PSK_AT_verzia_4_0!H219-PSK_AT_verzia_3_5!H204</f>
        <v>0</v>
      </c>
      <c r="I219" s="67">
        <f>PSK_AT_verzia_4_0!I219-PSK_AT_verzia_3_5!I204</f>
        <v>0</v>
      </c>
      <c r="J219" s="67">
        <f>PSK_AT_verzia_4_0!J219-PSK_AT_verzia_3_5!J204</f>
        <v>0</v>
      </c>
      <c r="K219" s="67">
        <f>PSK_AT_verzia_4_0!K219-PSK_AT_verzia_3_5!K204</f>
        <v>0</v>
      </c>
      <c r="L219" s="67">
        <f>PSK_AT_verzia_4_0!L219-PSK_AT_verzia_3_5!L204</f>
        <v>0</v>
      </c>
      <c r="M219" s="67">
        <f>PSK_AT_verzia_4_0!M219-PSK_AT_verzia_3_5!M204</f>
        <v>0</v>
      </c>
      <c r="N219" s="67">
        <f>PSK_AT_verzia_4_0!N219-PSK_AT_verzia_3_5!N204</f>
        <v>0</v>
      </c>
      <c r="O219" s="67">
        <f>PSK_AT_verzia_4_0!O219-PSK_AT_verzia_3_5!O204</f>
        <v>0</v>
      </c>
      <c r="P219" s="67">
        <f>PSK_AT_verzia_4_0!P219-PSK_AT_verzia_3_5!P204</f>
        <v>0</v>
      </c>
      <c r="Q219" s="67">
        <f>PSK_AT_verzia_4_0!Q219-PSK_AT_verzia_3_5!Q204</f>
        <v>0</v>
      </c>
    </row>
    <row r="220" spans="1:17" ht="28" customHeight="1" x14ac:dyDescent="0.35">
      <c r="A220" s="252"/>
      <c r="B220" s="215"/>
      <c r="C220" s="200">
        <f>PSK_AT_verzia_4_0!C220-PSK_AT_verzia_3_5!C205</f>
        <v>0</v>
      </c>
      <c r="D220" s="200">
        <f>PSK_AT_verzia_4_0!D220-PSK_AT_verzia_3_5!D205</f>
        <v>0</v>
      </c>
      <c r="E220" s="200">
        <f>PSK_AT_verzia_4_0!E220-PSK_AT_verzia_3_5!E205</f>
        <v>0</v>
      </c>
      <c r="F220" s="66" t="s">
        <v>152</v>
      </c>
      <c r="G220" s="71">
        <f>PSK_AT_verzia_4_0!G220-PSK_AT_verzia_3_5!G205</f>
        <v>-5281761</v>
      </c>
      <c r="H220" s="71">
        <f>PSK_AT_verzia_4_0!H220-PSK_AT_verzia_3_5!H205</f>
        <v>-5281761</v>
      </c>
      <c r="I220" s="71">
        <f>PSK_AT_verzia_4_0!I220-PSK_AT_verzia_3_5!I205</f>
        <v>0</v>
      </c>
      <c r="J220" s="71">
        <f>PSK_AT_verzia_4_0!J220-PSK_AT_verzia_3_5!J205</f>
        <v>-5281761</v>
      </c>
      <c r="K220" s="71">
        <f>PSK_AT_verzia_4_0!K220-PSK_AT_verzia_3_5!K205</f>
        <v>-5281761</v>
      </c>
      <c r="L220" s="71">
        <f>PSK_AT_verzia_4_0!L220-PSK_AT_verzia_3_5!L205</f>
        <v>0</v>
      </c>
      <c r="M220" s="71">
        <f>PSK_AT_verzia_4_0!M220-PSK_AT_verzia_3_5!M205</f>
        <v>0</v>
      </c>
      <c r="N220" s="71">
        <f>PSK_AT_verzia_4_0!N220-PSK_AT_verzia_3_5!N205</f>
        <v>0</v>
      </c>
      <c r="O220" s="71">
        <f>PSK_AT_verzia_4_0!O220-PSK_AT_verzia_3_5!O205</f>
        <v>0</v>
      </c>
      <c r="P220" s="71">
        <f>PSK_AT_verzia_4_0!P220-PSK_AT_verzia_3_5!P205</f>
        <v>0</v>
      </c>
      <c r="Q220" s="71">
        <f>PSK_AT_verzia_4_0!Q220-PSK_AT_verzia_3_5!Q205</f>
        <v>0</v>
      </c>
    </row>
    <row r="221" spans="1:17" ht="28" customHeight="1" x14ac:dyDescent="0.35">
      <c r="A221" s="252"/>
      <c r="B221" s="215"/>
      <c r="C221" s="200">
        <f>PSK_AT_verzia_4_0!C221-PSK_AT_verzia_3_5!C206</f>
        <v>0</v>
      </c>
      <c r="D221" s="200">
        <f>PSK_AT_verzia_4_0!D221-PSK_AT_verzia_3_5!D206</f>
        <v>0</v>
      </c>
      <c r="E221" s="200">
        <f>PSK_AT_verzia_4_0!E221-PSK_AT_verzia_3_5!E206</f>
        <v>0</v>
      </c>
      <c r="F221" s="66" t="s">
        <v>153</v>
      </c>
      <c r="G221" s="71">
        <f>PSK_AT_verzia_4_0!G221-PSK_AT_verzia_3_5!G206</f>
        <v>0</v>
      </c>
      <c r="H221" s="71">
        <f>PSK_AT_verzia_4_0!H221-PSK_AT_verzia_3_5!H206</f>
        <v>0</v>
      </c>
      <c r="I221" s="71">
        <f>PSK_AT_verzia_4_0!I221-PSK_AT_verzia_3_5!I206</f>
        <v>0</v>
      </c>
      <c r="J221" s="71">
        <f>PSK_AT_verzia_4_0!J221-PSK_AT_verzia_3_5!J206</f>
        <v>0</v>
      </c>
      <c r="K221" s="71">
        <f>PSK_AT_verzia_4_0!K221-PSK_AT_verzia_3_5!K206</f>
        <v>0</v>
      </c>
      <c r="L221" s="71">
        <f>PSK_AT_verzia_4_0!L221-PSK_AT_verzia_3_5!L206</f>
        <v>0</v>
      </c>
      <c r="M221" s="71">
        <f>PSK_AT_verzia_4_0!M221-PSK_AT_verzia_3_5!M206</f>
        <v>0</v>
      </c>
      <c r="N221" s="71">
        <f>PSK_AT_verzia_4_0!N221-PSK_AT_verzia_3_5!N206</f>
        <v>0</v>
      </c>
      <c r="O221" s="71">
        <f>PSK_AT_verzia_4_0!O221-PSK_AT_verzia_3_5!O206</f>
        <v>0</v>
      </c>
      <c r="P221" s="71">
        <f>PSK_AT_verzia_4_0!P221-PSK_AT_verzia_3_5!P206</f>
        <v>0</v>
      </c>
      <c r="Q221" s="71">
        <f>PSK_AT_verzia_4_0!Q221-PSK_AT_verzia_3_5!Q206</f>
        <v>0</v>
      </c>
    </row>
    <row r="222" spans="1:17" ht="28" customHeight="1" x14ac:dyDescent="0.35">
      <c r="A222" s="263" t="s">
        <v>209</v>
      </c>
      <c r="B222" s="215" t="s">
        <v>210</v>
      </c>
      <c r="C222" s="57">
        <f>PSK_AT_verzia_4_0!C222-PSK_AT_verzia_3_5!C207</f>
        <v>0</v>
      </c>
      <c r="D222" s="57">
        <f>PSK_AT_verzia_4_0!D222-PSK_AT_verzia_3_5!D207</f>
        <v>0</v>
      </c>
      <c r="E222" s="57">
        <f>PSK_AT_verzia_4_0!E222-PSK_AT_verzia_3_5!E207</f>
        <v>0</v>
      </c>
      <c r="F222" s="59" t="s">
        <v>211</v>
      </c>
      <c r="G222" s="58">
        <f>PSK_AT_verzia_4_0!G222-PSK_AT_verzia_3_5!G207</f>
        <v>0</v>
      </c>
      <c r="H222" s="58">
        <f>PSK_AT_verzia_4_0!H222-PSK_AT_verzia_3_5!H207</f>
        <v>0</v>
      </c>
      <c r="I222" s="58">
        <f>PSK_AT_verzia_4_0!I222-PSK_AT_verzia_3_5!I207</f>
        <v>0</v>
      </c>
      <c r="J222" s="58">
        <f>PSK_AT_verzia_4_0!J222-PSK_AT_verzia_3_5!J207</f>
        <v>0</v>
      </c>
      <c r="K222" s="58">
        <f>PSK_AT_verzia_4_0!K222-PSK_AT_verzia_3_5!K207</f>
        <v>0</v>
      </c>
      <c r="L222" s="58">
        <f>PSK_AT_verzia_4_0!L222-PSK_AT_verzia_3_5!L207</f>
        <v>0</v>
      </c>
      <c r="M222" s="58">
        <f>PSK_AT_verzia_4_0!M222-PSK_AT_verzia_3_5!M207</f>
        <v>0</v>
      </c>
      <c r="N222" s="58">
        <f>PSK_AT_verzia_4_0!N222-PSK_AT_verzia_3_5!N207</f>
        <v>0</v>
      </c>
      <c r="O222" s="58">
        <f>PSK_AT_verzia_4_0!O222-PSK_AT_verzia_3_5!O207</f>
        <v>0</v>
      </c>
      <c r="P222" s="58">
        <f>PSK_AT_verzia_4_0!P222-PSK_AT_verzia_3_5!P207</f>
        <v>0</v>
      </c>
      <c r="Q222" s="58">
        <f>PSK_AT_verzia_4_0!Q222-PSK_AT_verzia_3_5!Q207</f>
        <v>0</v>
      </c>
    </row>
    <row r="223" spans="1:17" ht="28" customHeight="1" x14ac:dyDescent="0.35">
      <c r="A223" s="252"/>
      <c r="B223" s="215"/>
      <c r="C223" s="60">
        <f>PSK_AT_verzia_4_0!C223-PSK_AT_verzia_3_5!C208</f>
        <v>0</v>
      </c>
      <c r="D223" s="60">
        <f>PSK_AT_verzia_4_0!D223-PSK_AT_verzia_3_5!D208</f>
        <v>0</v>
      </c>
      <c r="E223" s="60">
        <f>PSK_AT_verzia_4_0!E223-PSK_AT_verzia_3_5!E208</f>
        <v>0</v>
      </c>
      <c r="F223" s="61" t="s">
        <v>150</v>
      </c>
      <c r="G223" s="60">
        <f>PSK_AT_verzia_4_0!G223-PSK_AT_verzia_3_5!G208</f>
        <v>0</v>
      </c>
      <c r="H223" s="60">
        <f>PSK_AT_verzia_4_0!H223-PSK_AT_verzia_3_5!H208</f>
        <v>0</v>
      </c>
      <c r="I223" s="60">
        <f>PSK_AT_verzia_4_0!I223-PSK_AT_verzia_3_5!I208</f>
        <v>0</v>
      </c>
      <c r="J223" s="60">
        <f>PSK_AT_verzia_4_0!J223-PSK_AT_verzia_3_5!J208</f>
        <v>0</v>
      </c>
      <c r="K223" s="60">
        <f>PSK_AT_verzia_4_0!K223-PSK_AT_verzia_3_5!K208</f>
        <v>0</v>
      </c>
      <c r="L223" s="60">
        <f>PSK_AT_verzia_4_0!L223-PSK_AT_verzia_3_5!L208</f>
        <v>0</v>
      </c>
      <c r="M223" s="60">
        <f>PSK_AT_verzia_4_0!M223-PSK_AT_verzia_3_5!M208</f>
        <v>0</v>
      </c>
      <c r="N223" s="60">
        <f>PSK_AT_verzia_4_0!N223-PSK_AT_verzia_3_5!N208</f>
        <v>0</v>
      </c>
      <c r="O223" s="60">
        <f>PSK_AT_verzia_4_0!O223-PSK_AT_verzia_3_5!O208</f>
        <v>0</v>
      </c>
      <c r="P223" s="60">
        <f>PSK_AT_verzia_4_0!P223-PSK_AT_verzia_3_5!P208</f>
        <v>0</v>
      </c>
      <c r="Q223" s="60">
        <f>PSK_AT_verzia_4_0!Q223-PSK_AT_verzia_3_5!Q208</f>
        <v>0</v>
      </c>
    </row>
    <row r="224" spans="1:17" ht="28" customHeight="1" x14ac:dyDescent="0.35">
      <c r="A224" s="252"/>
      <c r="B224" s="215"/>
      <c r="C224" s="200">
        <f>PSK_AT_verzia_4_0!C224-PSK_AT_verzia_3_5!C209</f>
        <v>0</v>
      </c>
      <c r="D224" s="200">
        <f>PSK_AT_verzia_4_0!D224-PSK_AT_verzia_3_5!D209</f>
        <v>0</v>
      </c>
      <c r="E224" s="200">
        <f>PSK_AT_verzia_4_0!E224-PSK_AT_verzia_3_5!E209</f>
        <v>0</v>
      </c>
      <c r="F224" s="66" t="s">
        <v>151</v>
      </c>
      <c r="G224" s="67">
        <f>PSK_AT_verzia_4_0!G224-PSK_AT_verzia_3_5!G209</f>
        <v>0</v>
      </c>
      <c r="H224" s="67">
        <f>PSK_AT_verzia_4_0!H224-PSK_AT_verzia_3_5!H209</f>
        <v>0</v>
      </c>
      <c r="I224" s="67">
        <f>PSK_AT_verzia_4_0!I224-PSK_AT_verzia_3_5!I209</f>
        <v>0</v>
      </c>
      <c r="J224" s="67">
        <f>PSK_AT_verzia_4_0!J224-PSK_AT_verzia_3_5!J209</f>
        <v>0</v>
      </c>
      <c r="K224" s="67">
        <f>PSK_AT_verzia_4_0!K224-PSK_AT_verzia_3_5!K209</f>
        <v>0</v>
      </c>
      <c r="L224" s="67">
        <f>PSK_AT_verzia_4_0!L224-PSK_AT_verzia_3_5!L209</f>
        <v>0</v>
      </c>
      <c r="M224" s="67">
        <f>PSK_AT_verzia_4_0!M224-PSK_AT_verzia_3_5!M209</f>
        <v>0</v>
      </c>
      <c r="N224" s="67">
        <f>PSK_AT_verzia_4_0!N224-PSK_AT_verzia_3_5!N209</f>
        <v>0</v>
      </c>
      <c r="O224" s="67">
        <f>PSK_AT_verzia_4_0!O224-PSK_AT_verzia_3_5!O209</f>
        <v>0</v>
      </c>
      <c r="P224" s="67">
        <f>PSK_AT_verzia_4_0!P224-PSK_AT_verzia_3_5!P209</f>
        <v>0</v>
      </c>
      <c r="Q224" s="67">
        <f>PSK_AT_verzia_4_0!Q224-PSK_AT_verzia_3_5!Q209</f>
        <v>0</v>
      </c>
    </row>
    <row r="225" spans="1:17" ht="28" customHeight="1" x14ac:dyDescent="0.35">
      <c r="A225" s="263" t="s">
        <v>212</v>
      </c>
      <c r="B225" s="215" t="s">
        <v>213</v>
      </c>
      <c r="C225" s="57">
        <f>PSK_AT_verzia_4_0!C225-PSK_AT_verzia_3_5!C210</f>
        <v>0</v>
      </c>
      <c r="D225" s="57">
        <f>PSK_AT_verzia_4_0!D225-PSK_AT_verzia_3_5!D210</f>
        <v>0</v>
      </c>
      <c r="E225" s="57">
        <f>PSK_AT_verzia_4_0!E225-PSK_AT_verzia_3_5!E210</f>
        <v>0</v>
      </c>
      <c r="F225" s="59" t="s">
        <v>214</v>
      </c>
      <c r="G225" s="58">
        <f>PSK_AT_verzia_4_0!G225-PSK_AT_verzia_3_5!G210</f>
        <v>0</v>
      </c>
      <c r="H225" s="58">
        <f>PSK_AT_verzia_4_0!H225-PSK_AT_verzia_3_5!H210</f>
        <v>0</v>
      </c>
      <c r="I225" s="58">
        <f>PSK_AT_verzia_4_0!I225-PSK_AT_verzia_3_5!I210</f>
        <v>0</v>
      </c>
      <c r="J225" s="58">
        <f>PSK_AT_verzia_4_0!J225-PSK_AT_verzia_3_5!J210</f>
        <v>0</v>
      </c>
      <c r="K225" s="58">
        <f>PSK_AT_verzia_4_0!K225-PSK_AT_verzia_3_5!K210</f>
        <v>0</v>
      </c>
      <c r="L225" s="58">
        <f>PSK_AT_verzia_4_0!L225-PSK_AT_verzia_3_5!L210</f>
        <v>0</v>
      </c>
      <c r="M225" s="58">
        <f>PSK_AT_verzia_4_0!M225-PSK_AT_verzia_3_5!M210</f>
        <v>0</v>
      </c>
      <c r="N225" s="58">
        <f>PSK_AT_verzia_4_0!N225-PSK_AT_verzia_3_5!N210</f>
        <v>0</v>
      </c>
      <c r="O225" s="58">
        <f>PSK_AT_verzia_4_0!O225-PSK_AT_verzia_3_5!O210</f>
        <v>0</v>
      </c>
      <c r="P225" s="58">
        <f>PSK_AT_verzia_4_0!P225-PSK_AT_verzia_3_5!P210</f>
        <v>0</v>
      </c>
      <c r="Q225" s="58">
        <f>PSK_AT_verzia_4_0!Q225-PSK_AT_verzia_3_5!Q210</f>
        <v>0</v>
      </c>
    </row>
    <row r="226" spans="1:17" ht="28" customHeight="1" x14ac:dyDescent="0.35">
      <c r="A226" s="252"/>
      <c r="B226" s="215"/>
      <c r="C226" s="60">
        <f>PSK_AT_verzia_4_0!C226-PSK_AT_verzia_3_5!C211</f>
        <v>0</v>
      </c>
      <c r="D226" s="60">
        <f>PSK_AT_verzia_4_0!D226-PSK_AT_verzia_3_5!D211</f>
        <v>0</v>
      </c>
      <c r="E226" s="60">
        <f>PSK_AT_verzia_4_0!E226-PSK_AT_verzia_3_5!E211</f>
        <v>0</v>
      </c>
      <c r="F226" s="61" t="s">
        <v>150</v>
      </c>
      <c r="G226" s="60">
        <f>PSK_AT_verzia_4_0!G226-PSK_AT_verzia_3_5!G211</f>
        <v>0</v>
      </c>
      <c r="H226" s="60">
        <f>PSK_AT_verzia_4_0!H226-PSK_AT_verzia_3_5!H211</f>
        <v>0</v>
      </c>
      <c r="I226" s="60">
        <f>PSK_AT_verzia_4_0!I226-PSK_AT_verzia_3_5!I211</f>
        <v>0</v>
      </c>
      <c r="J226" s="60">
        <f>PSK_AT_verzia_4_0!J226-PSK_AT_verzia_3_5!J211</f>
        <v>0</v>
      </c>
      <c r="K226" s="60">
        <f>PSK_AT_verzia_4_0!K226-PSK_AT_verzia_3_5!K211</f>
        <v>0</v>
      </c>
      <c r="L226" s="60">
        <f>PSK_AT_verzia_4_0!L226-PSK_AT_verzia_3_5!L211</f>
        <v>0</v>
      </c>
      <c r="M226" s="60">
        <f>PSK_AT_verzia_4_0!M226-PSK_AT_verzia_3_5!M211</f>
        <v>0</v>
      </c>
      <c r="N226" s="60">
        <f>PSK_AT_verzia_4_0!N226-PSK_AT_verzia_3_5!N211</f>
        <v>0</v>
      </c>
      <c r="O226" s="60">
        <f>PSK_AT_verzia_4_0!O226-PSK_AT_verzia_3_5!O211</f>
        <v>0</v>
      </c>
      <c r="P226" s="60">
        <f>PSK_AT_verzia_4_0!P226-PSK_AT_verzia_3_5!P211</f>
        <v>0</v>
      </c>
      <c r="Q226" s="60">
        <f>PSK_AT_verzia_4_0!Q226-PSK_AT_verzia_3_5!Q211</f>
        <v>0</v>
      </c>
    </row>
    <row r="227" spans="1:17" ht="28" customHeight="1" x14ac:dyDescent="0.35">
      <c r="A227" s="252"/>
      <c r="B227" s="215"/>
      <c r="C227" s="200">
        <f>PSK_AT_verzia_4_0!C227-PSK_AT_verzia_3_5!C212</f>
        <v>0</v>
      </c>
      <c r="D227" s="200">
        <f>PSK_AT_verzia_4_0!D227-PSK_AT_verzia_3_5!D212</f>
        <v>0</v>
      </c>
      <c r="E227" s="200">
        <f>PSK_AT_verzia_4_0!E227-PSK_AT_verzia_3_5!E212</f>
        <v>0</v>
      </c>
      <c r="F227" s="66" t="s">
        <v>151</v>
      </c>
      <c r="G227" s="67">
        <f>PSK_AT_verzia_4_0!G227-PSK_AT_verzia_3_5!G212</f>
        <v>0</v>
      </c>
      <c r="H227" s="67">
        <f>PSK_AT_verzia_4_0!H227-PSK_AT_verzia_3_5!H212</f>
        <v>0</v>
      </c>
      <c r="I227" s="67">
        <f>PSK_AT_verzia_4_0!I227-PSK_AT_verzia_3_5!I212</f>
        <v>0</v>
      </c>
      <c r="J227" s="67">
        <f>PSK_AT_verzia_4_0!J227-PSK_AT_verzia_3_5!J212</f>
        <v>0</v>
      </c>
      <c r="K227" s="67">
        <f>PSK_AT_verzia_4_0!K227-PSK_AT_verzia_3_5!K212</f>
        <v>0</v>
      </c>
      <c r="L227" s="67">
        <f>PSK_AT_verzia_4_0!L227-PSK_AT_verzia_3_5!L212</f>
        <v>0</v>
      </c>
      <c r="M227" s="67">
        <f>PSK_AT_verzia_4_0!M227-PSK_AT_verzia_3_5!M212</f>
        <v>0</v>
      </c>
      <c r="N227" s="67">
        <f>PSK_AT_verzia_4_0!N227-PSK_AT_verzia_3_5!N212</f>
        <v>0</v>
      </c>
      <c r="O227" s="67">
        <f>PSK_AT_verzia_4_0!O227-PSK_AT_verzia_3_5!O212</f>
        <v>0</v>
      </c>
      <c r="P227" s="67">
        <f>PSK_AT_verzia_4_0!P227-PSK_AT_verzia_3_5!P212</f>
        <v>0</v>
      </c>
      <c r="Q227" s="67">
        <f>PSK_AT_verzia_4_0!Q227-PSK_AT_verzia_3_5!Q212</f>
        <v>0</v>
      </c>
    </row>
    <row r="228" spans="1:17" ht="52" x14ac:dyDescent="0.35">
      <c r="A228" s="87" t="s">
        <v>215</v>
      </c>
      <c r="B228" s="88" t="s">
        <v>216</v>
      </c>
      <c r="C228" s="52">
        <f>PSK_AT_verzia_4_0!C228-PSK_AT_verzia_3_5!C213</f>
        <v>-11823846</v>
      </c>
      <c r="D228" s="52">
        <f>PSK_AT_verzia_4_0!D228-PSK_AT_verzia_3_5!D213</f>
        <v>-6400000</v>
      </c>
      <c r="E228" s="52">
        <f>PSK_AT_verzia_4_0!E228-PSK_AT_verzia_3_5!E213</f>
        <v>0</v>
      </c>
      <c r="F228" s="54" t="s">
        <v>217</v>
      </c>
      <c r="G228" s="52">
        <f>PSK_AT_verzia_4_0!G228-PSK_AT_verzia_3_5!G213</f>
        <v>-28023846</v>
      </c>
      <c r="H228" s="52">
        <f>PSK_AT_verzia_4_0!H228-PSK_AT_verzia_3_5!H213</f>
        <v>-26062288</v>
      </c>
      <c r="I228" s="52">
        <f>PSK_AT_verzia_4_0!I228-PSK_AT_verzia_3_5!I213</f>
        <v>-1961558</v>
      </c>
      <c r="J228" s="52">
        <f>PSK_AT_verzia_4_0!J228-PSK_AT_verzia_3_5!J213</f>
        <v>-28023846</v>
      </c>
      <c r="K228" s="52">
        <f>PSK_AT_verzia_4_0!K228-PSK_AT_verzia_3_5!K213</f>
        <v>-26062288</v>
      </c>
      <c r="L228" s="52">
        <f>PSK_AT_verzia_4_0!L228-PSK_AT_verzia_3_5!L213</f>
        <v>-1961558</v>
      </c>
      <c r="M228" s="52">
        <f>PSK_AT_verzia_4_0!M228-PSK_AT_verzia_3_5!M213</f>
        <v>0</v>
      </c>
      <c r="N228" s="52">
        <f>PSK_AT_verzia_4_0!N228-PSK_AT_verzia_3_5!N213</f>
        <v>0</v>
      </c>
      <c r="O228" s="52">
        <f>PSK_AT_verzia_4_0!O228-PSK_AT_verzia_3_5!O213</f>
        <v>0</v>
      </c>
      <c r="P228" s="52">
        <f>PSK_AT_verzia_4_0!P228-PSK_AT_verzia_3_5!P213</f>
        <v>0</v>
      </c>
      <c r="Q228" s="52">
        <f>PSK_AT_verzia_4_0!Q228-PSK_AT_verzia_3_5!Q213</f>
        <v>0</v>
      </c>
    </row>
    <row r="229" spans="1:17" ht="28" customHeight="1" x14ac:dyDescent="0.35">
      <c r="A229" s="252" t="s">
        <v>218</v>
      </c>
      <c r="B229" s="251" t="s">
        <v>219</v>
      </c>
      <c r="C229" s="57">
        <f>PSK_AT_verzia_4_0!C229-PSK_AT_verzia_3_5!C214</f>
        <v>552244</v>
      </c>
      <c r="D229" s="57">
        <f>PSK_AT_verzia_4_0!D229-PSK_AT_verzia_3_5!D214</f>
        <v>0</v>
      </c>
      <c r="E229" s="57">
        <f>PSK_AT_verzia_4_0!E229-PSK_AT_verzia_3_5!E214</f>
        <v>0</v>
      </c>
      <c r="F229" s="59" t="s">
        <v>220</v>
      </c>
      <c r="G229" s="58">
        <f>PSK_AT_verzia_4_0!G229-PSK_AT_verzia_3_5!G214</f>
        <v>-643756</v>
      </c>
      <c r="H229" s="58">
        <f>PSK_AT_verzia_4_0!H229-PSK_AT_verzia_3_5!H214</f>
        <v>-589771</v>
      </c>
      <c r="I229" s="58">
        <f>PSK_AT_verzia_4_0!I229-PSK_AT_verzia_3_5!I214</f>
        <v>-53985</v>
      </c>
      <c r="J229" s="58">
        <f>PSK_AT_verzia_4_0!J229-PSK_AT_verzia_3_5!J214</f>
        <v>-643756</v>
      </c>
      <c r="K229" s="58">
        <f>PSK_AT_verzia_4_0!K229-PSK_AT_verzia_3_5!K214</f>
        <v>-589771</v>
      </c>
      <c r="L229" s="58">
        <f>PSK_AT_verzia_4_0!L229-PSK_AT_verzia_3_5!L214</f>
        <v>-53985</v>
      </c>
      <c r="M229" s="58">
        <f>PSK_AT_verzia_4_0!M229-PSK_AT_verzia_3_5!M214</f>
        <v>0</v>
      </c>
      <c r="N229" s="58">
        <f>PSK_AT_verzia_4_0!N229-PSK_AT_verzia_3_5!N214</f>
        <v>0</v>
      </c>
      <c r="O229" s="58">
        <f>PSK_AT_verzia_4_0!O229-PSK_AT_verzia_3_5!O214</f>
        <v>0</v>
      </c>
      <c r="P229" s="58">
        <f>PSK_AT_verzia_4_0!P229-PSK_AT_verzia_3_5!P214</f>
        <v>0</v>
      </c>
      <c r="Q229" s="58">
        <f>PSK_AT_verzia_4_0!Q229-PSK_AT_verzia_3_5!Q214</f>
        <v>0</v>
      </c>
    </row>
    <row r="230" spans="1:17" ht="28" customHeight="1" x14ac:dyDescent="0.35">
      <c r="A230" s="252"/>
      <c r="B230" s="251"/>
      <c r="C230" s="99">
        <f>PSK_AT_verzia_4_0!C230-PSK_AT_verzia_3_5!C215</f>
        <v>552244</v>
      </c>
      <c r="D230" s="60">
        <f>PSK_AT_verzia_4_0!D230-PSK_AT_verzia_3_5!D215</f>
        <v>0</v>
      </c>
      <c r="E230" s="60">
        <f>PSK_AT_verzia_4_0!E230-PSK_AT_verzia_3_5!E215</f>
        <v>0</v>
      </c>
      <c r="F230" s="61" t="s">
        <v>150</v>
      </c>
      <c r="G230" s="60">
        <f>PSK_AT_verzia_4_0!G230-PSK_AT_verzia_3_5!G215</f>
        <v>-643756</v>
      </c>
      <c r="H230" s="60">
        <f>PSK_AT_verzia_4_0!H230-PSK_AT_verzia_3_5!H215</f>
        <v>-589771</v>
      </c>
      <c r="I230" s="60">
        <f>PSK_AT_verzia_4_0!I230-PSK_AT_verzia_3_5!I215</f>
        <v>-53985</v>
      </c>
      <c r="J230" s="60">
        <f>PSK_AT_verzia_4_0!J230-PSK_AT_verzia_3_5!J215</f>
        <v>-643756</v>
      </c>
      <c r="K230" s="60">
        <f>PSK_AT_verzia_4_0!K230-PSK_AT_verzia_3_5!K215</f>
        <v>-589771</v>
      </c>
      <c r="L230" s="60">
        <f>PSK_AT_verzia_4_0!L230-PSK_AT_verzia_3_5!L215</f>
        <v>-53985</v>
      </c>
      <c r="M230" s="60">
        <f>PSK_AT_verzia_4_0!M230-PSK_AT_verzia_3_5!M215</f>
        <v>0</v>
      </c>
      <c r="N230" s="60">
        <f>PSK_AT_verzia_4_0!N230-PSK_AT_verzia_3_5!N215</f>
        <v>0</v>
      </c>
      <c r="O230" s="60">
        <f>PSK_AT_verzia_4_0!O230-PSK_AT_verzia_3_5!O215</f>
        <v>0</v>
      </c>
      <c r="P230" s="60">
        <f>PSK_AT_verzia_4_0!P230-PSK_AT_verzia_3_5!P215</f>
        <v>0</v>
      </c>
      <c r="Q230" s="60">
        <f>PSK_AT_verzia_4_0!Q230-PSK_AT_verzia_3_5!Q215</f>
        <v>0</v>
      </c>
    </row>
    <row r="231" spans="1:17" ht="28" customHeight="1" x14ac:dyDescent="0.35">
      <c r="A231" s="252"/>
      <c r="B231" s="251"/>
      <c r="C231" s="200">
        <f>PSK_AT_verzia_4_0!C231-PSK_AT_verzia_3_5!C216</f>
        <v>0</v>
      </c>
      <c r="D231" s="200">
        <f>PSK_AT_verzia_4_0!D231-PSK_AT_verzia_3_5!D216</f>
        <v>0</v>
      </c>
      <c r="E231" s="200">
        <f>PSK_AT_verzia_4_0!E231-PSK_AT_verzia_3_5!E216</f>
        <v>0</v>
      </c>
      <c r="F231" s="66" t="s">
        <v>151</v>
      </c>
      <c r="G231" s="67">
        <f>PSK_AT_verzia_4_0!G231-PSK_AT_verzia_3_5!G216</f>
        <v>-1196000</v>
      </c>
      <c r="H231" s="67">
        <f>PSK_AT_verzia_4_0!H231-PSK_AT_verzia_3_5!H216</f>
        <v>-1296000</v>
      </c>
      <c r="I231" s="67">
        <f>PSK_AT_verzia_4_0!I231-PSK_AT_verzia_3_5!I216</f>
        <v>100000</v>
      </c>
      <c r="J231" s="67">
        <f>PSK_AT_verzia_4_0!J231-PSK_AT_verzia_3_5!J216</f>
        <v>-1196000</v>
      </c>
      <c r="K231" s="67">
        <f>PSK_AT_verzia_4_0!K231-PSK_AT_verzia_3_5!K216</f>
        <v>-1296000</v>
      </c>
      <c r="L231" s="67">
        <f>PSK_AT_verzia_4_0!L231-PSK_AT_verzia_3_5!L216</f>
        <v>100000</v>
      </c>
      <c r="M231" s="67">
        <f>PSK_AT_verzia_4_0!M231-PSK_AT_verzia_3_5!M216</f>
        <v>0</v>
      </c>
      <c r="N231" s="67">
        <f>PSK_AT_verzia_4_0!N231-PSK_AT_verzia_3_5!N216</f>
        <v>0</v>
      </c>
      <c r="O231" s="67">
        <f>PSK_AT_verzia_4_0!O231-PSK_AT_verzia_3_5!O216</f>
        <v>0</v>
      </c>
      <c r="P231" s="67">
        <f>PSK_AT_verzia_4_0!P231-PSK_AT_verzia_3_5!P216</f>
        <v>0</v>
      </c>
      <c r="Q231" s="67">
        <f>PSK_AT_verzia_4_0!Q231-PSK_AT_verzia_3_5!Q216</f>
        <v>0</v>
      </c>
    </row>
    <row r="232" spans="1:17" ht="28" customHeight="1" x14ac:dyDescent="0.35">
      <c r="A232" s="252"/>
      <c r="B232" s="251"/>
      <c r="C232" s="200">
        <f>PSK_AT_verzia_4_0!C232-PSK_AT_verzia_3_5!C217</f>
        <v>0</v>
      </c>
      <c r="D232" s="200">
        <f>PSK_AT_verzia_4_0!D232-PSK_AT_verzia_3_5!D217</f>
        <v>0</v>
      </c>
      <c r="E232" s="200">
        <f>PSK_AT_verzia_4_0!E232-PSK_AT_verzia_3_5!E217</f>
        <v>0</v>
      </c>
      <c r="F232" s="66" t="s">
        <v>152</v>
      </c>
      <c r="G232" s="71">
        <f>PSK_AT_verzia_4_0!G232-PSK_AT_verzia_3_5!G217</f>
        <v>681447</v>
      </c>
      <c r="H232" s="71">
        <f>PSK_AT_verzia_4_0!H232-PSK_AT_verzia_3_5!H217</f>
        <v>835432</v>
      </c>
      <c r="I232" s="71">
        <f>PSK_AT_verzia_4_0!I232-PSK_AT_verzia_3_5!I217</f>
        <v>-153985</v>
      </c>
      <c r="J232" s="71">
        <f>PSK_AT_verzia_4_0!J232-PSK_AT_verzia_3_5!J217</f>
        <v>681447</v>
      </c>
      <c r="K232" s="71">
        <f>PSK_AT_verzia_4_0!K232-PSK_AT_verzia_3_5!K217</f>
        <v>835432</v>
      </c>
      <c r="L232" s="71">
        <f>PSK_AT_verzia_4_0!L232-PSK_AT_verzia_3_5!L217</f>
        <v>-153985</v>
      </c>
      <c r="M232" s="71">
        <f>PSK_AT_verzia_4_0!M232-PSK_AT_verzia_3_5!M217</f>
        <v>0</v>
      </c>
      <c r="N232" s="71">
        <f>PSK_AT_verzia_4_0!N232-PSK_AT_verzia_3_5!N217</f>
        <v>0</v>
      </c>
      <c r="O232" s="71">
        <f>PSK_AT_verzia_4_0!O232-PSK_AT_verzia_3_5!O217</f>
        <v>0</v>
      </c>
      <c r="P232" s="71">
        <f>PSK_AT_verzia_4_0!P232-PSK_AT_verzia_3_5!P217</f>
        <v>0</v>
      </c>
      <c r="Q232" s="71">
        <f>PSK_AT_verzia_4_0!Q232-PSK_AT_verzia_3_5!Q217</f>
        <v>0</v>
      </c>
    </row>
    <row r="233" spans="1:17" ht="28" customHeight="1" x14ac:dyDescent="0.35">
      <c r="A233" s="252"/>
      <c r="B233" s="251"/>
      <c r="C233" s="200">
        <f>PSK_AT_verzia_4_0!C233-PSK_AT_verzia_3_5!C218</f>
        <v>0</v>
      </c>
      <c r="D233" s="200">
        <f>PSK_AT_verzia_4_0!D233-PSK_AT_verzia_3_5!D218</f>
        <v>0</v>
      </c>
      <c r="E233" s="200">
        <f>PSK_AT_verzia_4_0!E233-PSK_AT_verzia_3_5!E218</f>
        <v>0</v>
      </c>
      <c r="F233" s="66" t="s">
        <v>153</v>
      </c>
      <c r="G233" s="71">
        <f>PSK_AT_verzia_4_0!G233-PSK_AT_verzia_3_5!G218</f>
        <v>-129203</v>
      </c>
      <c r="H233" s="71">
        <f>PSK_AT_verzia_4_0!H233-PSK_AT_verzia_3_5!H218</f>
        <v>-129203</v>
      </c>
      <c r="I233" s="71">
        <f>PSK_AT_verzia_4_0!I233-PSK_AT_verzia_3_5!I218</f>
        <v>0</v>
      </c>
      <c r="J233" s="71">
        <f>PSK_AT_verzia_4_0!J233-PSK_AT_verzia_3_5!J218</f>
        <v>-129203</v>
      </c>
      <c r="K233" s="71">
        <f>PSK_AT_verzia_4_0!K233-PSK_AT_verzia_3_5!K218</f>
        <v>-129203</v>
      </c>
      <c r="L233" s="71">
        <f>PSK_AT_verzia_4_0!L233-PSK_AT_verzia_3_5!L218</f>
        <v>0</v>
      </c>
      <c r="M233" s="71">
        <f>PSK_AT_verzia_4_0!M233-PSK_AT_verzia_3_5!M218</f>
        <v>0</v>
      </c>
      <c r="N233" s="71">
        <f>PSK_AT_verzia_4_0!N233-PSK_AT_verzia_3_5!N218</f>
        <v>0</v>
      </c>
      <c r="O233" s="71">
        <f>PSK_AT_verzia_4_0!O233-PSK_AT_verzia_3_5!O218</f>
        <v>0</v>
      </c>
      <c r="P233" s="71">
        <f>PSK_AT_verzia_4_0!P233-PSK_AT_verzia_3_5!P218</f>
        <v>0</v>
      </c>
      <c r="Q233" s="71">
        <f>PSK_AT_verzia_4_0!Q233-PSK_AT_verzia_3_5!Q218</f>
        <v>0</v>
      </c>
    </row>
    <row r="234" spans="1:17" ht="28" customHeight="1" x14ac:dyDescent="0.35">
      <c r="A234" s="252"/>
      <c r="B234" s="251"/>
      <c r="C234" s="60">
        <f>PSK_AT_verzia_4_0!C234-PSK_AT_verzia_3_5!C219</f>
        <v>0</v>
      </c>
      <c r="D234" s="102">
        <f>PSK_AT_verzia_4_0!D234-PSK_AT_verzia_3_5!D219</f>
        <v>0</v>
      </c>
      <c r="E234" s="60">
        <f>PSK_AT_verzia_4_0!E234-PSK_AT_verzia_3_5!E219</f>
        <v>0</v>
      </c>
      <c r="F234" s="61" t="s">
        <v>186</v>
      </c>
      <c r="G234" s="60">
        <f>PSK_AT_verzia_4_0!G234-PSK_AT_verzia_3_5!G219</f>
        <v>0</v>
      </c>
      <c r="H234" s="60">
        <f>PSK_AT_verzia_4_0!H234-PSK_AT_verzia_3_5!H219</f>
        <v>0</v>
      </c>
      <c r="I234" s="60">
        <f>PSK_AT_verzia_4_0!I234-PSK_AT_verzia_3_5!I219</f>
        <v>0</v>
      </c>
      <c r="J234" s="60">
        <f>PSK_AT_verzia_4_0!J234-PSK_AT_verzia_3_5!J219</f>
        <v>0</v>
      </c>
      <c r="K234" s="60">
        <f>PSK_AT_verzia_4_0!K234-PSK_AT_verzia_3_5!K219</f>
        <v>0</v>
      </c>
      <c r="L234" s="60">
        <f>PSK_AT_verzia_4_0!L234-PSK_AT_verzia_3_5!L219</f>
        <v>0</v>
      </c>
      <c r="M234" s="60">
        <f>PSK_AT_verzia_4_0!M234-PSK_AT_verzia_3_5!M219</f>
        <v>0</v>
      </c>
      <c r="N234" s="60">
        <f>PSK_AT_verzia_4_0!N234-PSK_AT_verzia_3_5!N219</f>
        <v>0</v>
      </c>
      <c r="O234" s="60">
        <f>PSK_AT_verzia_4_0!O234-PSK_AT_verzia_3_5!O219</f>
        <v>0</v>
      </c>
      <c r="P234" s="60">
        <f>PSK_AT_verzia_4_0!P234-PSK_AT_verzia_3_5!P219</f>
        <v>0</v>
      </c>
      <c r="Q234" s="60">
        <f>PSK_AT_verzia_4_0!Q234-PSK_AT_verzia_3_5!Q219</f>
        <v>0</v>
      </c>
    </row>
    <row r="235" spans="1:17" ht="28" customHeight="1" x14ac:dyDescent="0.35">
      <c r="A235" s="252"/>
      <c r="B235" s="251"/>
      <c r="C235" s="200">
        <f>PSK_AT_verzia_4_0!C235-PSK_AT_verzia_3_5!C220</f>
        <v>0</v>
      </c>
      <c r="D235" s="200">
        <f>PSK_AT_verzia_4_0!D235-PSK_AT_verzia_3_5!D220</f>
        <v>0</v>
      </c>
      <c r="E235" s="200">
        <f>PSK_AT_verzia_4_0!E235-PSK_AT_verzia_3_5!E220</f>
        <v>0</v>
      </c>
      <c r="F235" s="66" t="s">
        <v>187</v>
      </c>
      <c r="G235" s="103">
        <f>PSK_AT_verzia_4_0!G235-PSK_AT_verzia_3_5!G220</f>
        <v>0</v>
      </c>
      <c r="H235" s="103">
        <f>PSK_AT_verzia_4_0!H235-PSK_AT_verzia_3_5!H220</f>
        <v>0</v>
      </c>
      <c r="I235" s="103">
        <f>PSK_AT_verzia_4_0!I235-PSK_AT_verzia_3_5!I220</f>
        <v>0</v>
      </c>
      <c r="J235" s="103">
        <f>PSK_AT_verzia_4_0!J235-PSK_AT_verzia_3_5!J220</f>
        <v>0</v>
      </c>
      <c r="K235" s="103">
        <f>PSK_AT_verzia_4_0!K235-PSK_AT_verzia_3_5!K220</f>
        <v>0</v>
      </c>
      <c r="L235" s="103">
        <f>PSK_AT_verzia_4_0!L235-PSK_AT_verzia_3_5!L220</f>
        <v>0</v>
      </c>
      <c r="M235" s="103">
        <f>PSK_AT_verzia_4_0!M235-PSK_AT_verzia_3_5!M220</f>
        <v>0</v>
      </c>
      <c r="N235" s="103">
        <f>PSK_AT_verzia_4_0!N235-PSK_AT_verzia_3_5!N220</f>
        <v>0</v>
      </c>
      <c r="O235" s="103">
        <f>PSK_AT_verzia_4_0!O235-PSK_AT_verzia_3_5!O220</f>
        <v>0</v>
      </c>
      <c r="P235" s="103">
        <f>PSK_AT_verzia_4_0!P235-PSK_AT_verzia_3_5!P220</f>
        <v>0</v>
      </c>
      <c r="Q235" s="103">
        <f>PSK_AT_verzia_4_0!Q235-PSK_AT_verzia_3_5!Q220</f>
        <v>0</v>
      </c>
    </row>
    <row r="236" spans="1:17" ht="28" customHeight="1" x14ac:dyDescent="0.35">
      <c r="A236" s="252" t="s">
        <v>221</v>
      </c>
      <c r="B236" s="251" t="s">
        <v>222</v>
      </c>
      <c r="C236" s="57">
        <f>PSK_AT_verzia_4_0!C236-PSK_AT_verzia_3_5!C221</f>
        <v>-3808731</v>
      </c>
      <c r="D236" s="57">
        <f>PSK_AT_verzia_4_0!D236-PSK_AT_verzia_3_5!D221</f>
        <v>-6400000</v>
      </c>
      <c r="E236" s="57">
        <f>PSK_AT_verzia_4_0!E236-PSK_AT_verzia_3_5!E221</f>
        <v>0</v>
      </c>
      <c r="F236" s="59" t="s">
        <v>223</v>
      </c>
      <c r="G236" s="58">
        <f>PSK_AT_verzia_4_0!G236-PSK_AT_verzia_3_5!G221</f>
        <v>-10208731</v>
      </c>
      <c r="H236" s="58">
        <f>PSK_AT_verzia_4_0!H236-PSK_AT_verzia_3_5!H221</f>
        <v>-8401158</v>
      </c>
      <c r="I236" s="58">
        <f>PSK_AT_verzia_4_0!I236-PSK_AT_verzia_3_5!I221</f>
        <v>-1807573</v>
      </c>
      <c r="J236" s="58">
        <f>PSK_AT_verzia_4_0!J236-PSK_AT_verzia_3_5!J221</f>
        <v>-10208731</v>
      </c>
      <c r="K236" s="58">
        <f>PSK_AT_verzia_4_0!K236-PSK_AT_verzia_3_5!K221</f>
        <v>-8401158</v>
      </c>
      <c r="L236" s="58">
        <f>PSK_AT_verzia_4_0!L236-PSK_AT_verzia_3_5!L221</f>
        <v>-1807573</v>
      </c>
      <c r="M236" s="58">
        <f>PSK_AT_verzia_4_0!M236-PSK_AT_verzia_3_5!M221</f>
        <v>0</v>
      </c>
      <c r="N236" s="58">
        <f>PSK_AT_verzia_4_0!N236-PSK_AT_verzia_3_5!N221</f>
        <v>0</v>
      </c>
      <c r="O236" s="58">
        <f>PSK_AT_verzia_4_0!O236-PSK_AT_verzia_3_5!O221</f>
        <v>0</v>
      </c>
      <c r="P236" s="58">
        <f>PSK_AT_verzia_4_0!P236-PSK_AT_verzia_3_5!P221</f>
        <v>0</v>
      </c>
      <c r="Q236" s="58">
        <f>PSK_AT_verzia_4_0!Q236-PSK_AT_verzia_3_5!Q221</f>
        <v>0</v>
      </c>
    </row>
    <row r="237" spans="1:17" ht="28" customHeight="1" x14ac:dyDescent="0.35">
      <c r="A237" s="252"/>
      <c r="B237" s="251"/>
      <c r="C237" s="99">
        <f>PSK_AT_verzia_4_0!C237-PSK_AT_verzia_3_5!C222</f>
        <v>-3808731</v>
      </c>
      <c r="D237" s="60">
        <f>PSK_AT_verzia_4_0!D237-PSK_AT_verzia_3_5!D222</f>
        <v>0</v>
      </c>
      <c r="E237" s="60">
        <f>PSK_AT_verzia_4_0!E237-PSK_AT_verzia_3_5!E222</f>
        <v>0</v>
      </c>
      <c r="F237" s="61" t="s">
        <v>150</v>
      </c>
      <c r="G237" s="60">
        <f>PSK_AT_verzia_4_0!G237-PSK_AT_verzia_3_5!G222</f>
        <v>-3808731</v>
      </c>
      <c r="H237" s="60">
        <f>PSK_AT_verzia_4_0!H237-PSK_AT_verzia_3_5!H222</f>
        <v>-2001158</v>
      </c>
      <c r="I237" s="60">
        <f>PSK_AT_verzia_4_0!I237-PSK_AT_verzia_3_5!I222</f>
        <v>-1807573</v>
      </c>
      <c r="J237" s="60">
        <f>PSK_AT_verzia_4_0!J237-PSK_AT_verzia_3_5!J222</f>
        <v>-3808731</v>
      </c>
      <c r="K237" s="60">
        <f>PSK_AT_verzia_4_0!K237-PSK_AT_verzia_3_5!K222</f>
        <v>-2001158</v>
      </c>
      <c r="L237" s="60">
        <f>PSK_AT_verzia_4_0!L237-PSK_AT_verzia_3_5!L222</f>
        <v>-1807573</v>
      </c>
      <c r="M237" s="60">
        <f>PSK_AT_verzia_4_0!M237-PSK_AT_verzia_3_5!M222</f>
        <v>0</v>
      </c>
      <c r="N237" s="60">
        <f>PSK_AT_verzia_4_0!N237-PSK_AT_verzia_3_5!N222</f>
        <v>0</v>
      </c>
      <c r="O237" s="60">
        <f>PSK_AT_verzia_4_0!O237-PSK_AT_verzia_3_5!O222</f>
        <v>0</v>
      </c>
      <c r="P237" s="60">
        <f>PSK_AT_verzia_4_0!P237-PSK_AT_verzia_3_5!P222</f>
        <v>0</v>
      </c>
      <c r="Q237" s="60">
        <f>PSK_AT_verzia_4_0!Q237-PSK_AT_verzia_3_5!Q222</f>
        <v>0</v>
      </c>
    </row>
    <row r="238" spans="1:17" ht="28" customHeight="1" x14ac:dyDescent="0.35">
      <c r="A238" s="252"/>
      <c r="B238" s="251"/>
      <c r="C238" s="200">
        <f>PSK_AT_verzia_4_0!C238-PSK_AT_verzia_3_5!C223</f>
        <v>0</v>
      </c>
      <c r="D238" s="200">
        <f>PSK_AT_verzia_4_0!D238-PSK_AT_verzia_3_5!D223</f>
        <v>0</v>
      </c>
      <c r="E238" s="200">
        <f>PSK_AT_verzia_4_0!E238-PSK_AT_verzia_3_5!E223</f>
        <v>0</v>
      </c>
      <c r="F238" s="66" t="s">
        <v>151</v>
      </c>
      <c r="G238" s="67">
        <f>PSK_AT_verzia_4_0!G238-PSK_AT_verzia_3_5!G223</f>
        <v>0</v>
      </c>
      <c r="H238" s="67">
        <f>PSK_AT_verzia_4_0!H238-PSK_AT_verzia_3_5!H223</f>
        <v>0</v>
      </c>
      <c r="I238" s="67">
        <f>PSK_AT_verzia_4_0!I238-PSK_AT_verzia_3_5!I223</f>
        <v>0</v>
      </c>
      <c r="J238" s="67">
        <f>PSK_AT_verzia_4_0!J238-PSK_AT_verzia_3_5!J223</f>
        <v>0</v>
      </c>
      <c r="K238" s="67">
        <f>PSK_AT_verzia_4_0!K238-PSK_AT_verzia_3_5!K223</f>
        <v>0</v>
      </c>
      <c r="L238" s="67">
        <f>PSK_AT_verzia_4_0!L238-PSK_AT_verzia_3_5!L223</f>
        <v>0</v>
      </c>
      <c r="M238" s="67">
        <f>PSK_AT_verzia_4_0!M238-PSK_AT_verzia_3_5!M223</f>
        <v>0</v>
      </c>
      <c r="N238" s="67">
        <f>PSK_AT_verzia_4_0!N238-PSK_AT_verzia_3_5!N223</f>
        <v>0</v>
      </c>
      <c r="O238" s="67">
        <f>PSK_AT_verzia_4_0!O238-PSK_AT_verzia_3_5!O223</f>
        <v>0</v>
      </c>
      <c r="P238" s="67">
        <f>PSK_AT_verzia_4_0!P238-PSK_AT_verzia_3_5!P223</f>
        <v>0</v>
      </c>
      <c r="Q238" s="67">
        <f>PSK_AT_verzia_4_0!Q238-PSK_AT_verzia_3_5!Q223</f>
        <v>0</v>
      </c>
    </row>
    <row r="239" spans="1:17" ht="28" customHeight="1" x14ac:dyDescent="0.35">
      <c r="A239" s="252"/>
      <c r="B239" s="251"/>
      <c r="C239" s="200">
        <f>PSK_AT_verzia_4_0!C239-PSK_AT_verzia_3_5!C224</f>
        <v>0</v>
      </c>
      <c r="D239" s="200">
        <f>PSK_AT_verzia_4_0!D239-PSK_AT_verzia_3_5!D224</f>
        <v>0</v>
      </c>
      <c r="E239" s="200">
        <f>PSK_AT_verzia_4_0!E239-PSK_AT_verzia_3_5!E224</f>
        <v>0</v>
      </c>
      <c r="F239" s="66" t="s">
        <v>152</v>
      </c>
      <c r="G239" s="71">
        <f>PSK_AT_verzia_4_0!G239-PSK_AT_verzia_3_5!G224</f>
        <v>873509</v>
      </c>
      <c r="H239" s="71">
        <f>PSK_AT_verzia_4_0!H239-PSK_AT_verzia_3_5!H224</f>
        <v>873509</v>
      </c>
      <c r="I239" s="71">
        <f>PSK_AT_verzia_4_0!I239-PSK_AT_verzia_3_5!I224</f>
        <v>0</v>
      </c>
      <c r="J239" s="71">
        <f>PSK_AT_verzia_4_0!J239-PSK_AT_verzia_3_5!J224</f>
        <v>873509</v>
      </c>
      <c r="K239" s="71">
        <f>PSK_AT_verzia_4_0!K239-PSK_AT_verzia_3_5!K224</f>
        <v>873509</v>
      </c>
      <c r="L239" s="71">
        <f>PSK_AT_verzia_4_0!L239-PSK_AT_verzia_3_5!L224</f>
        <v>0</v>
      </c>
      <c r="M239" s="71">
        <f>PSK_AT_verzia_4_0!M239-PSK_AT_verzia_3_5!M224</f>
        <v>0</v>
      </c>
      <c r="N239" s="71">
        <f>PSK_AT_verzia_4_0!N239-PSK_AT_verzia_3_5!N224</f>
        <v>0</v>
      </c>
      <c r="O239" s="71">
        <f>PSK_AT_verzia_4_0!O239-PSK_AT_verzia_3_5!O224</f>
        <v>0</v>
      </c>
      <c r="P239" s="71">
        <f>PSK_AT_verzia_4_0!P239-PSK_AT_verzia_3_5!P224</f>
        <v>0</v>
      </c>
      <c r="Q239" s="71">
        <f>PSK_AT_verzia_4_0!Q239-PSK_AT_verzia_3_5!Q224</f>
        <v>0</v>
      </c>
    </row>
    <row r="240" spans="1:17" ht="28" customHeight="1" x14ac:dyDescent="0.35">
      <c r="A240" s="252"/>
      <c r="B240" s="251"/>
      <c r="C240" s="200">
        <f>PSK_AT_verzia_4_0!C240-PSK_AT_verzia_3_5!C225</f>
        <v>0</v>
      </c>
      <c r="D240" s="200">
        <f>PSK_AT_verzia_4_0!D240-PSK_AT_verzia_3_5!D225</f>
        <v>0</v>
      </c>
      <c r="E240" s="200">
        <f>PSK_AT_verzia_4_0!E240-PSK_AT_verzia_3_5!E225</f>
        <v>0</v>
      </c>
      <c r="F240" s="66" t="s">
        <v>153</v>
      </c>
      <c r="G240" s="71">
        <f>PSK_AT_verzia_4_0!G240-PSK_AT_verzia_3_5!G225</f>
        <v>-4682240</v>
      </c>
      <c r="H240" s="71">
        <f>PSK_AT_verzia_4_0!H240-PSK_AT_verzia_3_5!H225</f>
        <v>-2874667</v>
      </c>
      <c r="I240" s="71">
        <f>PSK_AT_verzia_4_0!I240-PSK_AT_verzia_3_5!I225</f>
        <v>-1807573</v>
      </c>
      <c r="J240" s="71">
        <f>PSK_AT_verzia_4_0!J240-PSK_AT_verzia_3_5!J225</f>
        <v>-4682240</v>
      </c>
      <c r="K240" s="71">
        <f>PSK_AT_verzia_4_0!K240-PSK_AT_verzia_3_5!K225</f>
        <v>-2874667</v>
      </c>
      <c r="L240" s="71">
        <f>PSK_AT_verzia_4_0!L240-PSK_AT_verzia_3_5!L225</f>
        <v>-1807573</v>
      </c>
      <c r="M240" s="71">
        <f>PSK_AT_verzia_4_0!M240-PSK_AT_verzia_3_5!M225</f>
        <v>0</v>
      </c>
      <c r="N240" s="71">
        <f>PSK_AT_verzia_4_0!N240-PSK_AT_verzia_3_5!N225</f>
        <v>0</v>
      </c>
      <c r="O240" s="71">
        <f>PSK_AT_verzia_4_0!O240-PSK_AT_verzia_3_5!O225</f>
        <v>0</v>
      </c>
      <c r="P240" s="71">
        <f>PSK_AT_verzia_4_0!P240-PSK_AT_verzia_3_5!P225</f>
        <v>0</v>
      </c>
      <c r="Q240" s="71">
        <f>PSK_AT_verzia_4_0!Q240-PSK_AT_verzia_3_5!Q225</f>
        <v>0</v>
      </c>
    </row>
    <row r="241" spans="1:17" ht="28" customHeight="1" x14ac:dyDescent="0.35">
      <c r="A241" s="252"/>
      <c r="B241" s="251"/>
      <c r="C241" s="60">
        <f>PSK_AT_verzia_4_0!C241-PSK_AT_verzia_3_5!C226</f>
        <v>0</v>
      </c>
      <c r="D241" s="102">
        <f>PSK_AT_verzia_4_0!D241-PSK_AT_verzia_3_5!D226</f>
        <v>-6400000</v>
      </c>
      <c r="E241" s="60">
        <f>PSK_AT_verzia_4_0!E241-PSK_AT_verzia_3_5!E226</f>
        <v>0</v>
      </c>
      <c r="F241" s="61" t="s">
        <v>186</v>
      </c>
      <c r="G241" s="60">
        <f>PSK_AT_verzia_4_0!G241-PSK_AT_verzia_3_5!G226</f>
        <v>-6400000</v>
      </c>
      <c r="H241" s="60">
        <f>PSK_AT_verzia_4_0!H241-PSK_AT_verzia_3_5!H226</f>
        <v>-6400000</v>
      </c>
      <c r="I241" s="60">
        <f>PSK_AT_verzia_4_0!I241-PSK_AT_verzia_3_5!I226</f>
        <v>0</v>
      </c>
      <c r="J241" s="60">
        <f>PSK_AT_verzia_4_0!J241-PSK_AT_verzia_3_5!J226</f>
        <v>-6400000</v>
      </c>
      <c r="K241" s="60">
        <f>PSK_AT_verzia_4_0!K241-PSK_AT_verzia_3_5!K226</f>
        <v>-6400000</v>
      </c>
      <c r="L241" s="60">
        <f>PSK_AT_verzia_4_0!L241-PSK_AT_verzia_3_5!L226</f>
        <v>0</v>
      </c>
      <c r="M241" s="60">
        <f>PSK_AT_verzia_4_0!M241-PSK_AT_verzia_3_5!M226</f>
        <v>0</v>
      </c>
      <c r="N241" s="60">
        <f>PSK_AT_verzia_4_0!N241-PSK_AT_verzia_3_5!N226</f>
        <v>0</v>
      </c>
      <c r="O241" s="60">
        <f>PSK_AT_verzia_4_0!O241-PSK_AT_verzia_3_5!O226</f>
        <v>0</v>
      </c>
      <c r="P241" s="60">
        <f>PSK_AT_verzia_4_0!P241-PSK_AT_verzia_3_5!P226</f>
        <v>0</v>
      </c>
      <c r="Q241" s="60">
        <f>PSK_AT_verzia_4_0!Q241-PSK_AT_verzia_3_5!Q226</f>
        <v>0</v>
      </c>
    </row>
    <row r="242" spans="1:17" ht="28" customHeight="1" x14ac:dyDescent="0.35">
      <c r="A242" s="252"/>
      <c r="B242" s="251"/>
      <c r="C242" s="200">
        <f>PSK_AT_verzia_4_0!C242-PSK_AT_verzia_3_5!C227</f>
        <v>0</v>
      </c>
      <c r="D242" s="200">
        <f>PSK_AT_verzia_4_0!D242-PSK_AT_verzia_3_5!D227</f>
        <v>0</v>
      </c>
      <c r="E242" s="200">
        <f>PSK_AT_verzia_4_0!E242-PSK_AT_verzia_3_5!E227</f>
        <v>0</v>
      </c>
      <c r="F242" s="66" t="s">
        <v>187</v>
      </c>
      <c r="G242" s="103">
        <f>PSK_AT_verzia_4_0!G242-PSK_AT_verzia_3_5!G227</f>
        <v>-6400000</v>
      </c>
      <c r="H242" s="103">
        <f>PSK_AT_verzia_4_0!H242-PSK_AT_verzia_3_5!H227</f>
        <v>-6400000</v>
      </c>
      <c r="I242" s="103">
        <f>PSK_AT_verzia_4_0!I242-PSK_AT_verzia_3_5!I227</f>
        <v>0</v>
      </c>
      <c r="J242" s="103">
        <f>PSK_AT_verzia_4_0!J242-PSK_AT_verzia_3_5!J227</f>
        <v>-6400000</v>
      </c>
      <c r="K242" s="103">
        <f>PSK_AT_verzia_4_0!K242-PSK_AT_verzia_3_5!K227</f>
        <v>-6400000</v>
      </c>
      <c r="L242" s="103">
        <f>PSK_AT_verzia_4_0!L242-PSK_AT_verzia_3_5!L227</f>
        <v>0</v>
      </c>
      <c r="M242" s="103">
        <f>PSK_AT_verzia_4_0!M242-PSK_AT_verzia_3_5!M227</f>
        <v>0</v>
      </c>
      <c r="N242" s="103">
        <f>PSK_AT_verzia_4_0!N242-PSK_AT_verzia_3_5!N227</f>
        <v>0</v>
      </c>
      <c r="O242" s="103">
        <f>PSK_AT_verzia_4_0!O242-PSK_AT_verzia_3_5!O227</f>
        <v>0</v>
      </c>
      <c r="P242" s="103">
        <f>PSK_AT_verzia_4_0!P242-PSK_AT_verzia_3_5!P227</f>
        <v>0</v>
      </c>
      <c r="Q242" s="103">
        <f>PSK_AT_verzia_4_0!Q242-PSK_AT_verzia_3_5!Q227</f>
        <v>0</v>
      </c>
    </row>
    <row r="243" spans="1:17" ht="28" customHeight="1" x14ac:dyDescent="0.35">
      <c r="A243" s="252" t="s">
        <v>224</v>
      </c>
      <c r="B243" s="251" t="s">
        <v>225</v>
      </c>
      <c r="C243" s="57">
        <f>PSK_AT_verzia_4_0!C243-PSK_AT_verzia_3_5!C228</f>
        <v>-8567359</v>
      </c>
      <c r="D243" s="57">
        <f>PSK_AT_verzia_4_0!D243-PSK_AT_verzia_3_5!D228</f>
        <v>0</v>
      </c>
      <c r="E243" s="57">
        <f>PSK_AT_verzia_4_0!E243-PSK_AT_verzia_3_5!E228</f>
        <v>0</v>
      </c>
      <c r="F243" s="59" t="s">
        <v>226</v>
      </c>
      <c r="G243" s="58">
        <f>PSK_AT_verzia_4_0!G243-PSK_AT_verzia_3_5!G228</f>
        <v>-14771359</v>
      </c>
      <c r="H243" s="58">
        <f>PSK_AT_verzia_4_0!H243-PSK_AT_verzia_3_5!H228</f>
        <v>-14771359</v>
      </c>
      <c r="I243" s="58">
        <f>PSK_AT_verzia_4_0!I243-PSK_AT_verzia_3_5!I228</f>
        <v>0</v>
      </c>
      <c r="J243" s="58">
        <f>PSK_AT_verzia_4_0!J243-PSK_AT_verzia_3_5!J228</f>
        <v>-14771359</v>
      </c>
      <c r="K243" s="58">
        <f>PSK_AT_verzia_4_0!K243-PSK_AT_verzia_3_5!K228</f>
        <v>-14771359</v>
      </c>
      <c r="L243" s="58">
        <f>PSK_AT_verzia_4_0!L243-PSK_AT_verzia_3_5!L228</f>
        <v>0</v>
      </c>
      <c r="M243" s="58">
        <f>PSK_AT_verzia_4_0!M243-PSK_AT_verzia_3_5!M228</f>
        <v>0</v>
      </c>
      <c r="N243" s="58">
        <f>PSK_AT_verzia_4_0!N243-PSK_AT_verzia_3_5!N228</f>
        <v>0</v>
      </c>
      <c r="O243" s="58">
        <f>PSK_AT_verzia_4_0!O243-PSK_AT_verzia_3_5!O228</f>
        <v>0</v>
      </c>
      <c r="P243" s="58">
        <f>PSK_AT_verzia_4_0!P243-PSK_AT_verzia_3_5!P228</f>
        <v>0</v>
      </c>
      <c r="Q243" s="58">
        <f>PSK_AT_verzia_4_0!Q243-PSK_AT_verzia_3_5!Q228</f>
        <v>0</v>
      </c>
    </row>
    <row r="244" spans="1:17" ht="28" customHeight="1" x14ac:dyDescent="0.35">
      <c r="A244" s="252"/>
      <c r="B244" s="251"/>
      <c r="C244" s="99">
        <f>PSK_AT_verzia_4_0!C244-PSK_AT_verzia_3_5!C229</f>
        <v>-8567359</v>
      </c>
      <c r="D244" s="60">
        <f>PSK_AT_verzia_4_0!D244-PSK_AT_verzia_3_5!D229</f>
        <v>0</v>
      </c>
      <c r="E244" s="72">
        <f>PSK_AT_verzia_4_0!E244-PSK_AT_verzia_3_5!E229</f>
        <v>0</v>
      </c>
      <c r="F244" s="61" t="s">
        <v>150</v>
      </c>
      <c r="G244" s="60">
        <f>PSK_AT_verzia_4_0!G244-PSK_AT_verzia_3_5!G229</f>
        <v>-14771359</v>
      </c>
      <c r="H244" s="60">
        <f>PSK_AT_verzia_4_0!H244-PSK_AT_verzia_3_5!H229</f>
        <v>-14771359</v>
      </c>
      <c r="I244" s="60">
        <f>PSK_AT_verzia_4_0!I244-PSK_AT_verzia_3_5!I229</f>
        <v>0</v>
      </c>
      <c r="J244" s="60">
        <f>PSK_AT_verzia_4_0!J244-PSK_AT_verzia_3_5!J229</f>
        <v>-14771359</v>
      </c>
      <c r="K244" s="60">
        <f>PSK_AT_verzia_4_0!K244-PSK_AT_verzia_3_5!K229</f>
        <v>-14771359</v>
      </c>
      <c r="L244" s="60">
        <f>PSK_AT_verzia_4_0!L244-PSK_AT_verzia_3_5!L229</f>
        <v>0</v>
      </c>
      <c r="M244" s="60">
        <f>PSK_AT_verzia_4_0!M244-PSK_AT_verzia_3_5!M229</f>
        <v>0</v>
      </c>
      <c r="N244" s="60">
        <f>PSK_AT_verzia_4_0!N244-PSK_AT_verzia_3_5!N229</f>
        <v>0</v>
      </c>
      <c r="O244" s="60">
        <f>PSK_AT_verzia_4_0!O244-PSK_AT_verzia_3_5!O229</f>
        <v>0</v>
      </c>
      <c r="P244" s="60">
        <f>PSK_AT_verzia_4_0!P244-PSK_AT_verzia_3_5!P229</f>
        <v>0</v>
      </c>
      <c r="Q244" s="60">
        <f>PSK_AT_verzia_4_0!Q244-PSK_AT_verzia_3_5!Q229</f>
        <v>0</v>
      </c>
    </row>
    <row r="245" spans="1:17" ht="28" customHeight="1" x14ac:dyDescent="0.35">
      <c r="A245" s="252"/>
      <c r="B245" s="251"/>
      <c r="C245" s="200">
        <f>PSK_AT_verzia_4_0!C245-PSK_AT_verzia_3_5!C230</f>
        <v>0</v>
      </c>
      <c r="D245" s="200">
        <f>PSK_AT_verzia_4_0!D245-PSK_AT_verzia_3_5!D230</f>
        <v>0</v>
      </c>
      <c r="E245" s="200">
        <f>PSK_AT_verzia_4_0!E245-PSK_AT_verzia_3_5!E230</f>
        <v>0</v>
      </c>
      <c r="F245" s="66" t="s">
        <v>151</v>
      </c>
      <c r="G245" s="67">
        <f>PSK_AT_verzia_4_0!G245-PSK_AT_verzia_3_5!G230</f>
        <v>-6204000</v>
      </c>
      <c r="H245" s="67">
        <f>PSK_AT_verzia_4_0!H245-PSK_AT_verzia_3_5!H230</f>
        <v>-6204000</v>
      </c>
      <c r="I245" s="67">
        <f>PSK_AT_verzia_4_0!I245-PSK_AT_verzia_3_5!I230</f>
        <v>0</v>
      </c>
      <c r="J245" s="67">
        <f>PSK_AT_verzia_4_0!J245-PSK_AT_verzia_3_5!J230</f>
        <v>-6204000</v>
      </c>
      <c r="K245" s="67">
        <f>PSK_AT_verzia_4_0!K245-PSK_AT_verzia_3_5!K230</f>
        <v>-6204000</v>
      </c>
      <c r="L245" s="67">
        <f>PSK_AT_verzia_4_0!L245-PSK_AT_verzia_3_5!L230</f>
        <v>0</v>
      </c>
      <c r="M245" s="67">
        <f>PSK_AT_verzia_4_0!M245-PSK_AT_verzia_3_5!M230</f>
        <v>0</v>
      </c>
      <c r="N245" s="67">
        <f>PSK_AT_verzia_4_0!N245-PSK_AT_verzia_3_5!N230</f>
        <v>0</v>
      </c>
      <c r="O245" s="67">
        <f>PSK_AT_verzia_4_0!O245-PSK_AT_verzia_3_5!O230</f>
        <v>0</v>
      </c>
      <c r="P245" s="67">
        <f>PSK_AT_verzia_4_0!P245-PSK_AT_verzia_3_5!P230</f>
        <v>0</v>
      </c>
      <c r="Q245" s="67">
        <f>PSK_AT_verzia_4_0!Q245-PSK_AT_verzia_3_5!Q230</f>
        <v>0</v>
      </c>
    </row>
    <row r="246" spans="1:17" ht="28" customHeight="1" x14ac:dyDescent="0.35">
      <c r="A246" s="252"/>
      <c r="B246" s="251"/>
      <c r="C246" s="200">
        <f>PSK_AT_verzia_4_0!C246-PSK_AT_verzia_3_5!C231</f>
        <v>0</v>
      </c>
      <c r="D246" s="200">
        <f>PSK_AT_verzia_4_0!D246-PSK_AT_verzia_3_5!D231</f>
        <v>0</v>
      </c>
      <c r="E246" s="200">
        <f>PSK_AT_verzia_4_0!E246-PSK_AT_verzia_3_5!E231</f>
        <v>0</v>
      </c>
      <c r="F246" s="66" t="s">
        <v>152</v>
      </c>
      <c r="G246" s="71">
        <f>PSK_AT_verzia_4_0!G246-PSK_AT_verzia_3_5!G231</f>
        <v>-6056588</v>
      </c>
      <c r="H246" s="71">
        <f>PSK_AT_verzia_4_0!H246-PSK_AT_verzia_3_5!H231</f>
        <v>-6056588</v>
      </c>
      <c r="I246" s="71">
        <f>PSK_AT_verzia_4_0!I246-PSK_AT_verzia_3_5!I231</f>
        <v>0</v>
      </c>
      <c r="J246" s="71">
        <f>PSK_AT_verzia_4_0!J246-PSK_AT_verzia_3_5!J231</f>
        <v>-6056588</v>
      </c>
      <c r="K246" s="71">
        <f>PSK_AT_verzia_4_0!K246-PSK_AT_verzia_3_5!K231</f>
        <v>-6056588</v>
      </c>
      <c r="L246" s="71">
        <f>PSK_AT_verzia_4_0!L246-PSK_AT_verzia_3_5!L231</f>
        <v>0</v>
      </c>
      <c r="M246" s="71">
        <f>PSK_AT_verzia_4_0!M246-PSK_AT_verzia_3_5!M231</f>
        <v>0</v>
      </c>
      <c r="N246" s="71">
        <f>PSK_AT_verzia_4_0!N246-PSK_AT_verzia_3_5!N231</f>
        <v>0</v>
      </c>
      <c r="O246" s="71">
        <f>PSK_AT_verzia_4_0!O246-PSK_AT_verzia_3_5!O231</f>
        <v>0</v>
      </c>
      <c r="P246" s="71">
        <f>PSK_AT_verzia_4_0!P246-PSK_AT_verzia_3_5!P231</f>
        <v>0</v>
      </c>
      <c r="Q246" s="71">
        <f>PSK_AT_verzia_4_0!Q246-PSK_AT_verzia_3_5!Q231</f>
        <v>0</v>
      </c>
    </row>
    <row r="247" spans="1:17" ht="28" customHeight="1" x14ac:dyDescent="0.35">
      <c r="A247" s="252"/>
      <c r="B247" s="251"/>
      <c r="C247" s="200">
        <f>PSK_AT_verzia_4_0!C247-PSK_AT_verzia_3_5!C232</f>
        <v>0</v>
      </c>
      <c r="D247" s="200">
        <f>PSK_AT_verzia_4_0!D247-PSK_AT_verzia_3_5!D232</f>
        <v>0</v>
      </c>
      <c r="E247" s="200">
        <f>PSK_AT_verzia_4_0!E247-PSK_AT_verzia_3_5!E232</f>
        <v>0</v>
      </c>
      <c r="F247" s="66" t="s">
        <v>153</v>
      </c>
      <c r="G247" s="71">
        <f>PSK_AT_verzia_4_0!G247-PSK_AT_verzia_3_5!G232</f>
        <v>-2510771</v>
      </c>
      <c r="H247" s="71">
        <f>PSK_AT_verzia_4_0!H247-PSK_AT_verzia_3_5!H232</f>
        <v>-2510771</v>
      </c>
      <c r="I247" s="71">
        <f>PSK_AT_verzia_4_0!I247-PSK_AT_verzia_3_5!I232</f>
        <v>0</v>
      </c>
      <c r="J247" s="71">
        <f>PSK_AT_verzia_4_0!J247-PSK_AT_verzia_3_5!J232</f>
        <v>-2510771</v>
      </c>
      <c r="K247" s="71">
        <f>PSK_AT_verzia_4_0!K247-PSK_AT_verzia_3_5!K232</f>
        <v>-2510771</v>
      </c>
      <c r="L247" s="71">
        <f>PSK_AT_verzia_4_0!L247-PSK_AT_verzia_3_5!L232</f>
        <v>0</v>
      </c>
      <c r="M247" s="71">
        <f>PSK_AT_verzia_4_0!M247-PSK_AT_verzia_3_5!M232</f>
        <v>0</v>
      </c>
      <c r="N247" s="71">
        <f>PSK_AT_verzia_4_0!N247-PSK_AT_verzia_3_5!N232</f>
        <v>0</v>
      </c>
      <c r="O247" s="71">
        <f>PSK_AT_verzia_4_0!O247-PSK_AT_verzia_3_5!O232</f>
        <v>0</v>
      </c>
      <c r="P247" s="71">
        <f>PSK_AT_verzia_4_0!P247-PSK_AT_verzia_3_5!P232</f>
        <v>0</v>
      </c>
      <c r="Q247" s="71">
        <f>PSK_AT_verzia_4_0!Q247-PSK_AT_verzia_3_5!Q232</f>
        <v>0</v>
      </c>
    </row>
    <row r="248" spans="1:17" ht="28" customHeight="1" x14ac:dyDescent="0.35">
      <c r="A248" s="252"/>
      <c r="B248" s="251"/>
      <c r="C248" s="200">
        <f>PSK_AT_verzia_4_0!C248-PSK_AT_verzia_3_5!C233</f>
        <v>0</v>
      </c>
      <c r="D248" s="200">
        <f>PSK_AT_verzia_4_0!D248-PSK_AT_verzia_3_5!D233</f>
        <v>0</v>
      </c>
      <c r="E248" s="200">
        <f>PSK_AT_verzia_4_0!E248-PSK_AT_verzia_3_5!E233</f>
        <v>0</v>
      </c>
      <c r="F248" s="66" t="s">
        <v>227</v>
      </c>
      <c r="G248" s="74">
        <f>PSK_AT_verzia_4_0!G248-PSK_AT_verzia_3_5!G233</f>
        <v>0</v>
      </c>
      <c r="H248" s="74">
        <f>PSK_AT_verzia_4_0!H248-PSK_AT_verzia_3_5!H233</f>
        <v>0</v>
      </c>
      <c r="I248" s="74">
        <f>PSK_AT_verzia_4_0!I248-PSK_AT_verzia_3_5!I233</f>
        <v>0</v>
      </c>
      <c r="J248" s="74">
        <f>PSK_AT_verzia_4_0!J248-PSK_AT_verzia_3_5!J233</f>
        <v>0</v>
      </c>
      <c r="K248" s="74">
        <f>PSK_AT_verzia_4_0!K248-PSK_AT_verzia_3_5!K233</f>
        <v>0</v>
      </c>
      <c r="L248" s="74">
        <f>PSK_AT_verzia_4_0!L248-PSK_AT_verzia_3_5!L233</f>
        <v>0</v>
      </c>
      <c r="M248" s="74">
        <f>PSK_AT_verzia_4_0!M248-PSK_AT_verzia_3_5!M233</f>
        <v>0</v>
      </c>
      <c r="N248" s="74">
        <f>PSK_AT_verzia_4_0!N248-PSK_AT_verzia_3_5!N233</f>
        <v>0</v>
      </c>
      <c r="O248" s="74">
        <f>PSK_AT_verzia_4_0!O248-PSK_AT_verzia_3_5!O233</f>
        <v>0</v>
      </c>
      <c r="P248" s="74">
        <f>PSK_AT_verzia_4_0!P248-PSK_AT_verzia_3_5!P233</f>
        <v>0</v>
      </c>
      <c r="Q248" s="74">
        <f>PSK_AT_verzia_4_0!Q248-PSK_AT_verzia_3_5!Q233</f>
        <v>0</v>
      </c>
    </row>
    <row r="249" spans="1:17" ht="28" customHeight="1" x14ac:dyDescent="0.35">
      <c r="A249" s="252"/>
      <c r="B249" s="251"/>
      <c r="C249" s="60">
        <f>PSK_AT_verzia_4_0!C249-PSK_AT_verzia_3_5!C234</f>
        <v>0</v>
      </c>
      <c r="D249" s="102">
        <f>PSK_AT_verzia_4_0!D249-PSK_AT_verzia_3_5!D234</f>
        <v>0</v>
      </c>
      <c r="E249" s="60">
        <f>PSK_AT_verzia_4_0!E249-PSK_AT_verzia_3_5!E234</f>
        <v>0</v>
      </c>
      <c r="F249" s="61" t="s">
        <v>186</v>
      </c>
      <c r="G249" s="60">
        <f>PSK_AT_verzia_4_0!G249-PSK_AT_verzia_3_5!G234</f>
        <v>0</v>
      </c>
      <c r="H249" s="60">
        <f>PSK_AT_verzia_4_0!H249-PSK_AT_verzia_3_5!H234</f>
        <v>0</v>
      </c>
      <c r="I249" s="60">
        <f>PSK_AT_verzia_4_0!I249-PSK_AT_verzia_3_5!I234</f>
        <v>0</v>
      </c>
      <c r="J249" s="60">
        <f>PSK_AT_verzia_4_0!J249-PSK_AT_verzia_3_5!J234</f>
        <v>0</v>
      </c>
      <c r="K249" s="60">
        <f>PSK_AT_verzia_4_0!K249-PSK_AT_verzia_3_5!K234</f>
        <v>0</v>
      </c>
      <c r="L249" s="60">
        <f>PSK_AT_verzia_4_0!L249-PSK_AT_verzia_3_5!L234</f>
        <v>0</v>
      </c>
      <c r="M249" s="60">
        <f>PSK_AT_verzia_4_0!M249-PSK_AT_verzia_3_5!M234</f>
        <v>0</v>
      </c>
      <c r="N249" s="60">
        <f>PSK_AT_verzia_4_0!N249-PSK_AT_verzia_3_5!N234</f>
        <v>0</v>
      </c>
      <c r="O249" s="60">
        <f>PSK_AT_verzia_4_0!O249-PSK_AT_verzia_3_5!O234</f>
        <v>0</v>
      </c>
      <c r="P249" s="60">
        <f>PSK_AT_verzia_4_0!P249-PSK_AT_verzia_3_5!P234</f>
        <v>0</v>
      </c>
      <c r="Q249" s="60">
        <f>PSK_AT_verzia_4_0!Q249-PSK_AT_verzia_3_5!Q234</f>
        <v>0</v>
      </c>
    </row>
    <row r="250" spans="1:17" ht="28" customHeight="1" x14ac:dyDescent="0.35">
      <c r="A250" s="252"/>
      <c r="B250" s="251"/>
      <c r="C250" s="200">
        <f>PSK_AT_verzia_4_0!C250-PSK_AT_verzia_3_5!C235</f>
        <v>0</v>
      </c>
      <c r="D250" s="200">
        <f>PSK_AT_verzia_4_0!D250-PSK_AT_verzia_3_5!D235</f>
        <v>0</v>
      </c>
      <c r="E250" s="200">
        <f>PSK_AT_verzia_4_0!E250-PSK_AT_verzia_3_5!E235</f>
        <v>0</v>
      </c>
      <c r="F250" s="66" t="s">
        <v>187</v>
      </c>
      <c r="G250" s="103">
        <f>PSK_AT_verzia_4_0!G250-PSK_AT_verzia_3_5!G235</f>
        <v>0</v>
      </c>
      <c r="H250" s="103">
        <f>PSK_AT_verzia_4_0!H250-PSK_AT_verzia_3_5!H235</f>
        <v>0</v>
      </c>
      <c r="I250" s="103">
        <f>PSK_AT_verzia_4_0!I250-PSK_AT_verzia_3_5!I235</f>
        <v>0</v>
      </c>
      <c r="J250" s="103">
        <f>PSK_AT_verzia_4_0!J250-PSK_AT_verzia_3_5!J235</f>
        <v>0</v>
      </c>
      <c r="K250" s="103">
        <f>PSK_AT_verzia_4_0!K250-PSK_AT_verzia_3_5!K235</f>
        <v>0</v>
      </c>
      <c r="L250" s="103">
        <f>PSK_AT_verzia_4_0!L250-PSK_AT_verzia_3_5!L235</f>
        <v>0</v>
      </c>
      <c r="M250" s="103">
        <f>PSK_AT_verzia_4_0!M250-PSK_AT_verzia_3_5!M235</f>
        <v>0</v>
      </c>
      <c r="N250" s="103">
        <f>PSK_AT_verzia_4_0!N250-PSK_AT_verzia_3_5!N235</f>
        <v>0</v>
      </c>
      <c r="O250" s="103">
        <f>PSK_AT_verzia_4_0!O250-PSK_AT_verzia_3_5!O235</f>
        <v>0</v>
      </c>
      <c r="P250" s="103">
        <f>PSK_AT_verzia_4_0!P250-PSK_AT_verzia_3_5!P235</f>
        <v>0</v>
      </c>
      <c r="Q250" s="103">
        <f>PSK_AT_verzia_4_0!Q250-PSK_AT_verzia_3_5!Q235</f>
        <v>0</v>
      </c>
    </row>
    <row r="251" spans="1:17" ht="59.5" customHeight="1" x14ac:dyDescent="0.35">
      <c r="A251" s="252" t="s">
        <v>228</v>
      </c>
      <c r="B251" s="251" t="s">
        <v>229</v>
      </c>
      <c r="C251" s="57">
        <f>PSK_AT_verzia_4_0!C251-PSK_AT_verzia_3_5!C236</f>
        <v>0</v>
      </c>
      <c r="D251" s="57">
        <f>PSK_AT_verzia_4_0!D251-PSK_AT_verzia_3_5!D236</f>
        <v>0</v>
      </c>
      <c r="E251" s="57">
        <f>PSK_AT_verzia_4_0!E251-PSK_AT_verzia_3_5!E236</f>
        <v>0</v>
      </c>
      <c r="F251" s="59" t="s">
        <v>230</v>
      </c>
      <c r="G251" s="58">
        <f>PSK_AT_verzia_4_0!G251-PSK_AT_verzia_3_5!G236</f>
        <v>-2200000</v>
      </c>
      <c r="H251" s="58">
        <f>PSK_AT_verzia_4_0!H251-PSK_AT_verzia_3_5!H236</f>
        <v>-2100000</v>
      </c>
      <c r="I251" s="58">
        <f>PSK_AT_verzia_4_0!I251-PSK_AT_verzia_3_5!I236</f>
        <v>-100000</v>
      </c>
      <c r="J251" s="58">
        <f>PSK_AT_verzia_4_0!J251-PSK_AT_verzia_3_5!J236</f>
        <v>-2200000</v>
      </c>
      <c r="K251" s="58">
        <f>PSK_AT_verzia_4_0!K251-PSK_AT_verzia_3_5!K236</f>
        <v>-2100000</v>
      </c>
      <c r="L251" s="58">
        <f>PSK_AT_verzia_4_0!L251-PSK_AT_verzia_3_5!L236</f>
        <v>-100000</v>
      </c>
      <c r="M251" s="58">
        <f>PSK_AT_verzia_4_0!M251-PSK_AT_verzia_3_5!M236</f>
        <v>0</v>
      </c>
      <c r="N251" s="58">
        <f>PSK_AT_verzia_4_0!N251-PSK_AT_verzia_3_5!N236</f>
        <v>0</v>
      </c>
      <c r="O251" s="58">
        <f>PSK_AT_verzia_4_0!O251-PSK_AT_verzia_3_5!O236</f>
        <v>0</v>
      </c>
      <c r="P251" s="58">
        <f>PSK_AT_verzia_4_0!P251-PSK_AT_verzia_3_5!P236</f>
        <v>0</v>
      </c>
      <c r="Q251" s="58">
        <f>PSK_AT_verzia_4_0!Q251-PSK_AT_verzia_3_5!Q236</f>
        <v>0</v>
      </c>
    </row>
    <row r="252" spans="1:17" ht="28" customHeight="1" x14ac:dyDescent="0.35">
      <c r="A252" s="252"/>
      <c r="B252" s="251"/>
      <c r="C252" s="60">
        <f>PSK_AT_verzia_4_0!C252-PSK_AT_verzia_3_5!C237</f>
        <v>0</v>
      </c>
      <c r="D252" s="60">
        <f>PSK_AT_verzia_4_0!D252-PSK_AT_verzia_3_5!D237</f>
        <v>0</v>
      </c>
      <c r="E252" s="60">
        <f>PSK_AT_verzia_4_0!E252-PSK_AT_verzia_3_5!E237</f>
        <v>0</v>
      </c>
      <c r="F252" s="61" t="s">
        <v>150</v>
      </c>
      <c r="G252" s="60">
        <f>PSK_AT_verzia_4_0!G252-PSK_AT_verzia_3_5!G237</f>
        <v>-2200000</v>
      </c>
      <c r="H252" s="60">
        <f>PSK_AT_verzia_4_0!H252-PSK_AT_verzia_3_5!H237</f>
        <v>-2100000</v>
      </c>
      <c r="I252" s="60">
        <f>PSK_AT_verzia_4_0!I252-PSK_AT_verzia_3_5!I237</f>
        <v>-100000</v>
      </c>
      <c r="J252" s="60">
        <f>PSK_AT_verzia_4_0!J252-PSK_AT_verzia_3_5!J237</f>
        <v>-2200000</v>
      </c>
      <c r="K252" s="60">
        <f>PSK_AT_verzia_4_0!K252-PSK_AT_verzia_3_5!K237</f>
        <v>-2100000</v>
      </c>
      <c r="L252" s="60">
        <f>PSK_AT_verzia_4_0!L252-PSK_AT_verzia_3_5!L237</f>
        <v>-100000</v>
      </c>
      <c r="M252" s="60">
        <f>PSK_AT_verzia_4_0!M252-PSK_AT_verzia_3_5!M237</f>
        <v>0</v>
      </c>
      <c r="N252" s="60">
        <f>PSK_AT_verzia_4_0!N252-PSK_AT_verzia_3_5!N237</f>
        <v>0</v>
      </c>
      <c r="O252" s="60">
        <f>PSK_AT_verzia_4_0!O252-PSK_AT_verzia_3_5!O237</f>
        <v>0</v>
      </c>
      <c r="P252" s="60">
        <f>PSK_AT_verzia_4_0!P252-PSK_AT_verzia_3_5!P237</f>
        <v>0</v>
      </c>
      <c r="Q252" s="60">
        <f>PSK_AT_verzia_4_0!Q252-PSK_AT_verzia_3_5!Q237</f>
        <v>0</v>
      </c>
    </row>
    <row r="253" spans="1:17" ht="28" customHeight="1" x14ac:dyDescent="0.35">
      <c r="A253" s="252"/>
      <c r="B253" s="251"/>
      <c r="C253" s="200">
        <f>PSK_AT_verzia_4_0!C253-PSK_AT_verzia_3_5!C238</f>
        <v>0</v>
      </c>
      <c r="D253" s="200">
        <f>PSK_AT_verzia_4_0!D253-PSK_AT_verzia_3_5!D238</f>
        <v>0</v>
      </c>
      <c r="E253" s="200">
        <f>PSK_AT_verzia_4_0!E253-PSK_AT_verzia_3_5!E238</f>
        <v>0</v>
      </c>
      <c r="F253" s="66" t="s">
        <v>151</v>
      </c>
      <c r="G253" s="67">
        <f>PSK_AT_verzia_4_0!G253-PSK_AT_verzia_3_5!G238</f>
        <v>-2200000</v>
      </c>
      <c r="H253" s="67">
        <f>PSK_AT_verzia_4_0!H253-PSK_AT_verzia_3_5!H238</f>
        <v>-2100000</v>
      </c>
      <c r="I253" s="67">
        <f>PSK_AT_verzia_4_0!I253-PSK_AT_verzia_3_5!I238</f>
        <v>-100000</v>
      </c>
      <c r="J253" s="67">
        <f>PSK_AT_verzia_4_0!J253-PSK_AT_verzia_3_5!J238</f>
        <v>-2200000</v>
      </c>
      <c r="K253" s="67">
        <f>PSK_AT_verzia_4_0!K253-PSK_AT_verzia_3_5!K238</f>
        <v>-2100000</v>
      </c>
      <c r="L253" s="67">
        <f>PSK_AT_verzia_4_0!L253-PSK_AT_verzia_3_5!L238</f>
        <v>-100000</v>
      </c>
      <c r="M253" s="67">
        <f>PSK_AT_verzia_4_0!M253-PSK_AT_verzia_3_5!M238</f>
        <v>0</v>
      </c>
      <c r="N253" s="67">
        <f>PSK_AT_verzia_4_0!N253-PSK_AT_verzia_3_5!N238</f>
        <v>0</v>
      </c>
      <c r="O253" s="67">
        <f>PSK_AT_verzia_4_0!O253-PSK_AT_verzia_3_5!O238</f>
        <v>0</v>
      </c>
      <c r="P253" s="67">
        <f>PSK_AT_verzia_4_0!P253-PSK_AT_verzia_3_5!P238</f>
        <v>0</v>
      </c>
      <c r="Q253" s="67">
        <f>PSK_AT_verzia_4_0!Q253-PSK_AT_verzia_3_5!Q238</f>
        <v>0</v>
      </c>
    </row>
    <row r="254" spans="1:17" ht="28" customHeight="1" x14ac:dyDescent="0.35">
      <c r="A254" s="252" t="s">
        <v>231</v>
      </c>
      <c r="B254" s="251" t="s">
        <v>232</v>
      </c>
      <c r="C254" s="57">
        <f>PSK_AT_verzia_4_0!C254-PSK_AT_verzia_3_5!C239</f>
        <v>0</v>
      </c>
      <c r="D254" s="57">
        <f>PSK_AT_verzia_4_0!D254-PSK_AT_verzia_3_5!D239</f>
        <v>0</v>
      </c>
      <c r="E254" s="57">
        <f>PSK_AT_verzia_4_0!E254-PSK_AT_verzia_3_5!E239</f>
        <v>0</v>
      </c>
      <c r="F254" s="59" t="s">
        <v>233</v>
      </c>
      <c r="G254" s="58">
        <f>PSK_AT_verzia_4_0!G254-PSK_AT_verzia_3_5!G239</f>
        <v>-200000</v>
      </c>
      <c r="H254" s="58">
        <f>PSK_AT_verzia_4_0!H254-PSK_AT_verzia_3_5!H239</f>
        <v>-200000</v>
      </c>
      <c r="I254" s="58">
        <f>PSK_AT_verzia_4_0!I254-PSK_AT_verzia_3_5!I239</f>
        <v>0</v>
      </c>
      <c r="J254" s="58">
        <f>PSK_AT_verzia_4_0!J254-PSK_AT_verzia_3_5!J239</f>
        <v>-200000</v>
      </c>
      <c r="K254" s="58">
        <f>PSK_AT_verzia_4_0!K254-PSK_AT_verzia_3_5!K239</f>
        <v>-200000</v>
      </c>
      <c r="L254" s="58">
        <f>PSK_AT_verzia_4_0!L254-PSK_AT_verzia_3_5!L239</f>
        <v>0</v>
      </c>
      <c r="M254" s="58">
        <f>PSK_AT_verzia_4_0!M254-PSK_AT_verzia_3_5!M239</f>
        <v>0</v>
      </c>
      <c r="N254" s="58">
        <f>PSK_AT_verzia_4_0!N254-PSK_AT_verzia_3_5!N239</f>
        <v>0</v>
      </c>
      <c r="O254" s="58">
        <f>PSK_AT_verzia_4_0!O254-PSK_AT_verzia_3_5!O239</f>
        <v>0</v>
      </c>
      <c r="P254" s="58">
        <f>PSK_AT_verzia_4_0!P254-PSK_AT_verzia_3_5!P239</f>
        <v>0</v>
      </c>
      <c r="Q254" s="58">
        <f>PSK_AT_verzia_4_0!Q254-PSK_AT_verzia_3_5!Q239</f>
        <v>0</v>
      </c>
    </row>
    <row r="255" spans="1:17" ht="28" customHeight="1" x14ac:dyDescent="0.35">
      <c r="A255" s="252"/>
      <c r="B255" s="251"/>
      <c r="C255" s="60">
        <f>PSK_AT_verzia_4_0!C255-PSK_AT_verzia_3_5!C240</f>
        <v>0</v>
      </c>
      <c r="D255" s="60">
        <f>PSK_AT_verzia_4_0!D255-PSK_AT_verzia_3_5!D240</f>
        <v>0</v>
      </c>
      <c r="E255" s="60">
        <f>PSK_AT_verzia_4_0!E255-PSK_AT_verzia_3_5!E240</f>
        <v>0</v>
      </c>
      <c r="F255" s="61" t="s">
        <v>150</v>
      </c>
      <c r="G255" s="60">
        <f>PSK_AT_verzia_4_0!G255-PSK_AT_verzia_3_5!G240</f>
        <v>-200000</v>
      </c>
      <c r="H255" s="60">
        <f>PSK_AT_verzia_4_0!H255-PSK_AT_verzia_3_5!H240</f>
        <v>-200000</v>
      </c>
      <c r="I255" s="60">
        <f>PSK_AT_verzia_4_0!I255-PSK_AT_verzia_3_5!I240</f>
        <v>0</v>
      </c>
      <c r="J255" s="60">
        <f>PSK_AT_verzia_4_0!J255-PSK_AT_verzia_3_5!J240</f>
        <v>-200000</v>
      </c>
      <c r="K255" s="60">
        <f>PSK_AT_verzia_4_0!K255-PSK_AT_verzia_3_5!K240</f>
        <v>-200000</v>
      </c>
      <c r="L255" s="60">
        <f>PSK_AT_verzia_4_0!L255-PSK_AT_verzia_3_5!L240</f>
        <v>0</v>
      </c>
      <c r="M255" s="60">
        <f>PSK_AT_verzia_4_0!M255-PSK_AT_verzia_3_5!M240</f>
        <v>0</v>
      </c>
      <c r="N255" s="60">
        <f>PSK_AT_verzia_4_0!N255-PSK_AT_verzia_3_5!N240</f>
        <v>0</v>
      </c>
      <c r="O255" s="60">
        <f>PSK_AT_verzia_4_0!O255-PSK_AT_verzia_3_5!O240</f>
        <v>0</v>
      </c>
      <c r="P255" s="60">
        <f>PSK_AT_verzia_4_0!P255-PSK_AT_verzia_3_5!P240</f>
        <v>0</v>
      </c>
      <c r="Q255" s="60">
        <f>PSK_AT_verzia_4_0!Q255-PSK_AT_verzia_3_5!Q240</f>
        <v>0</v>
      </c>
    </row>
    <row r="256" spans="1:17" ht="28" customHeight="1" x14ac:dyDescent="0.35">
      <c r="A256" s="252"/>
      <c r="B256" s="251"/>
      <c r="C256" s="200">
        <f>PSK_AT_verzia_4_0!C256-PSK_AT_verzia_3_5!C241</f>
        <v>0</v>
      </c>
      <c r="D256" s="200">
        <f>PSK_AT_verzia_4_0!D256-PSK_AT_verzia_3_5!D241</f>
        <v>0</v>
      </c>
      <c r="E256" s="200">
        <f>PSK_AT_verzia_4_0!E256-PSK_AT_verzia_3_5!E241</f>
        <v>0</v>
      </c>
      <c r="F256" s="66" t="s">
        <v>151</v>
      </c>
      <c r="G256" s="67">
        <f>PSK_AT_verzia_4_0!G256-PSK_AT_verzia_3_5!G241</f>
        <v>-200000</v>
      </c>
      <c r="H256" s="67">
        <f>PSK_AT_verzia_4_0!H256-PSK_AT_verzia_3_5!H241</f>
        <v>-200000</v>
      </c>
      <c r="I256" s="67">
        <f>PSK_AT_verzia_4_0!I256-PSK_AT_verzia_3_5!I241</f>
        <v>0</v>
      </c>
      <c r="J256" s="67">
        <f>PSK_AT_verzia_4_0!J256-PSK_AT_verzia_3_5!J241</f>
        <v>-200000</v>
      </c>
      <c r="K256" s="67">
        <f>PSK_AT_verzia_4_0!K256-PSK_AT_verzia_3_5!K241</f>
        <v>-200000</v>
      </c>
      <c r="L256" s="67">
        <f>PSK_AT_verzia_4_0!L256-PSK_AT_verzia_3_5!L241</f>
        <v>0</v>
      </c>
      <c r="M256" s="67">
        <f>PSK_AT_verzia_4_0!M256-PSK_AT_verzia_3_5!M241</f>
        <v>0</v>
      </c>
      <c r="N256" s="67">
        <f>PSK_AT_verzia_4_0!N256-PSK_AT_verzia_3_5!N241</f>
        <v>0</v>
      </c>
      <c r="O256" s="67">
        <f>PSK_AT_verzia_4_0!O256-PSK_AT_verzia_3_5!O241</f>
        <v>0</v>
      </c>
      <c r="P256" s="67">
        <f>PSK_AT_verzia_4_0!P256-PSK_AT_verzia_3_5!P241</f>
        <v>0</v>
      </c>
      <c r="Q256" s="67">
        <f>PSK_AT_verzia_4_0!Q256-PSK_AT_verzia_3_5!Q241</f>
        <v>0</v>
      </c>
    </row>
    <row r="257" spans="1:22" ht="78" x14ac:dyDescent="0.35">
      <c r="A257" s="87" t="s">
        <v>234</v>
      </c>
      <c r="B257" s="88" t="s">
        <v>235</v>
      </c>
      <c r="C257" s="52">
        <f>PSK_AT_verzia_4_0!C257-PSK_AT_verzia_3_5!C242</f>
        <v>3146903</v>
      </c>
      <c r="D257" s="52">
        <f>PSK_AT_verzia_4_0!D257-PSK_AT_verzia_3_5!D242</f>
        <v>0</v>
      </c>
      <c r="E257" s="52">
        <f>PSK_AT_verzia_4_0!E257-PSK_AT_verzia_3_5!E242</f>
        <v>0</v>
      </c>
      <c r="F257" s="54" t="s">
        <v>236</v>
      </c>
      <c r="G257" s="52">
        <f>PSK_AT_verzia_4_0!G257-PSK_AT_verzia_3_5!G242</f>
        <v>-73057705</v>
      </c>
      <c r="H257" s="52">
        <f>PSK_AT_verzia_4_0!H257-PSK_AT_verzia_3_5!H242</f>
        <v>-14296234</v>
      </c>
      <c r="I257" s="52">
        <f>PSK_AT_verzia_4_0!I257-PSK_AT_verzia_3_5!I242</f>
        <v>1238529</v>
      </c>
      <c r="J257" s="52">
        <f>PSK_AT_verzia_4_0!J257-PSK_AT_verzia_3_5!J242</f>
        <v>-13057705</v>
      </c>
      <c r="K257" s="52">
        <f>PSK_AT_verzia_4_0!K257-PSK_AT_verzia_3_5!K242</f>
        <v>-14296234</v>
      </c>
      <c r="L257" s="52">
        <f>PSK_AT_verzia_4_0!L257-PSK_AT_verzia_3_5!L242</f>
        <v>1238529</v>
      </c>
      <c r="M257" s="52">
        <f>PSK_AT_verzia_4_0!M257-PSK_AT_verzia_3_5!M242</f>
        <v>-60000000</v>
      </c>
      <c r="N257" s="52">
        <f>PSK_AT_verzia_4_0!N257-PSK_AT_verzia_3_5!N242</f>
        <v>0</v>
      </c>
      <c r="O257" s="52">
        <f>PSK_AT_verzia_4_0!O257-PSK_AT_verzia_3_5!O242</f>
        <v>0</v>
      </c>
      <c r="P257" s="52">
        <f>PSK_AT_verzia_4_0!P257-PSK_AT_verzia_3_5!P242</f>
        <v>0</v>
      </c>
      <c r="Q257" s="52">
        <f>PSK_AT_verzia_4_0!Q257-PSK_AT_verzia_3_5!Q242</f>
        <v>0</v>
      </c>
    </row>
    <row r="258" spans="1:22" ht="28" customHeight="1" x14ac:dyDescent="0.35">
      <c r="A258" s="252" t="s">
        <v>237</v>
      </c>
      <c r="B258" s="251" t="s">
        <v>238</v>
      </c>
      <c r="C258" s="57">
        <f>PSK_AT_verzia_4_0!C258-PSK_AT_verzia_3_5!C243</f>
        <v>0</v>
      </c>
      <c r="D258" s="57">
        <f>PSK_AT_verzia_4_0!D258-PSK_AT_verzia_3_5!D243</f>
        <v>0</v>
      </c>
      <c r="E258" s="57">
        <f>PSK_AT_verzia_4_0!E258-PSK_AT_verzia_3_5!E243</f>
        <v>0</v>
      </c>
      <c r="F258" s="59" t="s">
        <v>239</v>
      </c>
      <c r="G258" s="58">
        <f>PSK_AT_verzia_4_0!G258-PSK_AT_verzia_3_5!G243</f>
        <v>0</v>
      </c>
      <c r="H258" s="58">
        <f>PSK_AT_verzia_4_0!H258-PSK_AT_verzia_3_5!H243</f>
        <v>0</v>
      </c>
      <c r="I258" s="58">
        <f>PSK_AT_verzia_4_0!I258-PSK_AT_verzia_3_5!I243</f>
        <v>0</v>
      </c>
      <c r="J258" s="58">
        <f>PSK_AT_verzia_4_0!J258-PSK_AT_verzia_3_5!J243</f>
        <v>0</v>
      </c>
      <c r="K258" s="58">
        <f>PSK_AT_verzia_4_0!K258-PSK_AT_verzia_3_5!K243</f>
        <v>0</v>
      </c>
      <c r="L258" s="58">
        <f>PSK_AT_verzia_4_0!L258-PSK_AT_verzia_3_5!L243</f>
        <v>0</v>
      </c>
      <c r="M258" s="58">
        <f>PSK_AT_verzia_4_0!M258-PSK_AT_verzia_3_5!M243</f>
        <v>0</v>
      </c>
      <c r="N258" s="58">
        <f>PSK_AT_verzia_4_0!N258-PSK_AT_verzia_3_5!N243</f>
        <v>0</v>
      </c>
      <c r="O258" s="58">
        <f>PSK_AT_verzia_4_0!O258-PSK_AT_verzia_3_5!O243</f>
        <v>0</v>
      </c>
      <c r="P258" s="58">
        <f>PSK_AT_verzia_4_0!P258-PSK_AT_verzia_3_5!P243</f>
        <v>0</v>
      </c>
      <c r="Q258" s="58">
        <f>PSK_AT_verzia_4_0!Q258-PSK_AT_verzia_3_5!Q243</f>
        <v>0</v>
      </c>
    </row>
    <row r="259" spans="1:22" ht="28" customHeight="1" x14ac:dyDescent="0.35">
      <c r="A259" s="252"/>
      <c r="B259" s="251"/>
      <c r="C259" s="60">
        <f>PSK_AT_verzia_4_0!C259-PSK_AT_verzia_3_5!C244</f>
        <v>0</v>
      </c>
      <c r="D259" s="60">
        <f>PSK_AT_verzia_4_0!D259-PSK_AT_verzia_3_5!D244</f>
        <v>0</v>
      </c>
      <c r="E259" s="60">
        <f>PSK_AT_verzia_4_0!E259-PSK_AT_verzia_3_5!E244</f>
        <v>0</v>
      </c>
      <c r="F259" s="61" t="s">
        <v>150</v>
      </c>
      <c r="G259" s="60">
        <f>PSK_AT_verzia_4_0!G259-PSK_AT_verzia_3_5!G244</f>
        <v>0</v>
      </c>
      <c r="H259" s="60">
        <f>PSK_AT_verzia_4_0!H259-PSK_AT_verzia_3_5!H244</f>
        <v>0</v>
      </c>
      <c r="I259" s="60">
        <f>PSK_AT_verzia_4_0!I259-PSK_AT_verzia_3_5!I244</f>
        <v>0</v>
      </c>
      <c r="J259" s="60">
        <f>PSK_AT_verzia_4_0!J259-PSK_AT_verzia_3_5!J244</f>
        <v>0</v>
      </c>
      <c r="K259" s="60">
        <f>PSK_AT_verzia_4_0!K259-PSK_AT_verzia_3_5!K244</f>
        <v>0</v>
      </c>
      <c r="L259" s="60">
        <f>PSK_AT_verzia_4_0!L259-PSK_AT_verzia_3_5!L244</f>
        <v>0</v>
      </c>
      <c r="M259" s="60">
        <f>PSK_AT_verzia_4_0!M259-PSK_AT_verzia_3_5!M244</f>
        <v>0</v>
      </c>
      <c r="N259" s="60">
        <f>PSK_AT_verzia_4_0!N259-PSK_AT_verzia_3_5!N244</f>
        <v>0</v>
      </c>
      <c r="O259" s="60">
        <f>PSK_AT_verzia_4_0!O259-PSK_AT_verzia_3_5!O244</f>
        <v>0</v>
      </c>
      <c r="P259" s="60">
        <f>PSK_AT_verzia_4_0!P259-PSK_AT_verzia_3_5!P244</f>
        <v>0</v>
      </c>
      <c r="Q259" s="60">
        <f>PSK_AT_verzia_4_0!Q259-PSK_AT_verzia_3_5!Q244</f>
        <v>0</v>
      </c>
    </row>
    <row r="260" spans="1:22" ht="28" customHeight="1" x14ac:dyDescent="0.35">
      <c r="A260" s="252"/>
      <c r="B260" s="251"/>
      <c r="C260" s="200">
        <f>PSK_AT_verzia_4_0!C260-PSK_AT_verzia_3_5!C245</f>
        <v>0</v>
      </c>
      <c r="D260" s="200">
        <f>PSK_AT_verzia_4_0!D260-PSK_AT_verzia_3_5!D245</f>
        <v>0</v>
      </c>
      <c r="E260" s="200">
        <f>PSK_AT_verzia_4_0!E260-PSK_AT_verzia_3_5!E245</f>
        <v>0</v>
      </c>
      <c r="F260" s="66" t="s">
        <v>151</v>
      </c>
      <c r="G260" s="67">
        <f>PSK_AT_verzia_4_0!G260-PSK_AT_verzia_3_5!G245</f>
        <v>0</v>
      </c>
      <c r="H260" s="67">
        <f>PSK_AT_verzia_4_0!H260-PSK_AT_verzia_3_5!H245</f>
        <v>0</v>
      </c>
      <c r="I260" s="67">
        <f>PSK_AT_verzia_4_0!I260-PSK_AT_verzia_3_5!I245</f>
        <v>0</v>
      </c>
      <c r="J260" s="67">
        <f>PSK_AT_verzia_4_0!J260-PSK_AT_verzia_3_5!J245</f>
        <v>0</v>
      </c>
      <c r="K260" s="67">
        <f>PSK_AT_verzia_4_0!K260-PSK_AT_verzia_3_5!K245</f>
        <v>0</v>
      </c>
      <c r="L260" s="67">
        <f>PSK_AT_verzia_4_0!L260-PSK_AT_verzia_3_5!L245</f>
        <v>0</v>
      </c>
      <c r="M260" s="67">
        <f>PSK_AT_verzia_4_0!M260-PSK_AT_verzia_3_5!M245</f>
        <v>0</v>
      </c>
      <c r="N260" s="67">
        <f>PSK_AT_verzia_4_0!N260-PSK_AT_verzia_3_5!N245</f>
        <v>0</v>
      </c>
      <c r="O260" s="67">
        <f>PSK_AT_verzia_4_0!O260-PSK_AT_verzia_3_5!O245</f>
        <v>0</v>
      </c>
      <c r="P260" s="67">
        <f>PSK_AT_verzia_4_0!P260-PSK_AT_verzia_3_5!P245</f>
        <v>0</v>
      </c>
      <c r="Q260" s="67">
        <f>PSK_AT_verzia_4_0!Q260-PSK_AT_verzia_3_5!Q245</f>
        <v>0</v>
      </c>
    </row>
    <row r="261" spans="1:22" ht="28" customHeight="1" x14ac:dyDescent="0.35">
      <c r="A261" s="252" t="s">
        <v>240</v>
      </c>
      <c r="B261" s="251" t="s">
        <v>241</v>
      </c>
      <c r="C261" s="57">
        <f>PSK_AT_verzia_4_0!C261-PSK_AT_verzia_3_5!C246</f>
        <v>0</v>
      </c>
      <c r="D261" s="57">
        <f>PSK_AT_verzia_4_0!D261-PSK_AT_verzia_3_5!D246</f>
        <v>0</v>
      </c>
      <c r="E261" s="57">
        <f>PSK_AT_verzia_4_0!E261-PSK_AT_verzia_3_5!E246</f>
        <v>0</v>
      </c>
      <c r="F261" s="59" t="s">
        <v>242</v>
      </c>
      <c r="G261" s="58">
        <f>PSK_AT_verzia_4_0!G261-PSK_AT_verzia_3_5!G246</f>
        <v>0</v>
      </c>
      <c r="H261" s="58">
        <f>PSK_AT_verzia_4_0!H261-PSK_AT_verzia_3_5!H246</f>
        <v>0</v>
      </c>
      <c r="I261" s="58">
        <f>PSK_AT_verzia_4_0!I261-PSK_AT_verzia_3_5!I246</f>
        <v>0</v>
      </c>
      <c r="J261" s="58">
        <f>PSK_AT_verzia_4_0!J261-PSK_AT_verzia_3_5!J246</f>
        <v>0</v>
      </c>
      <c r="K261" s="58">
        <f>PSK_AT_verzia_4_0!K261-PSK_AT_verzia_3_5!K246</f>
        <v>0</v>
      </c>
      <c r="L261" s="58">
        <f>PSK_AT_verzia_4_0!L261-PSK_AT_verzia_3_5!L246</f>
        <v>0</v>
      </c>
      <c r="M261" s="58">
        <f>PSK_AT_verzia_4_0!M261-PSK_AT_verzia_3_5!M246</f>
        <v>0</v>
      </c>
      <c r="N261" s="58">
        <f>PSK_AT_verzia_4_0!N261-PSK_AT_verzia_3_5!N246</f>
        <v>0</v>
      </c>
      <c r="O261" s="58">
        <f>PSK_AT_verzia_4_0!O261-PSK_AT_verzia_3_5!O246</f>
        <v>0</v>
      </c>
      <c r="P261" s="58">
        <f>PSK_AT_verzia_4_0!P261-PSK_AT_verzia_3_5!P246</f>
        <v>0</v>
      </c>
      <c r="Q261" s="58">
        <f>PSK_AT_verzia_4_0!Q261-PSK_AT_verzia_3_5!Q246</f>
        <v>0</v>
      </c>
    </row>
    <row r="262" spans="1:22" ht="28" customHeight="1" x14ac:dyDescent="0.35">
      <c r="A262" s="252"/>
      <c r="B262" s="251"/>
      <c r="C262" s="60">
        <f>PSK_AT_verzia_4_0!C262-PSK_AT_verzia_3_5!C247</f>
        <v>0</v>
      </c>
      <c r="D262" s="60">
        <f>PSK_AT_verzia_4_0!D262-PSK_AT_verzia_3_5!D247</f>
        <v>0</v>
      </c>
      <c r="E262" s="60">
        <f>PSK_AT_verzia_4_0!E262-PSK_AT_verzia_3_5!E247</f>
        <v>0</v>
      </c>
      <c r="F262" s="61" t="s">
        <v>150</v>
      </c>
      <c r="G262" s="60">
        <f>PSK_AT_verzia_4_0!G262-PSK_AT_verzia_3_5!G247</f>
        <v>0</v>
      </c>
      <c r="H262" s="60">
        <f>PSK_AT_verzia_4_0!H262-PSK_AT_verzia_3_5!H247</f>
        <v>0</v>
      </c>
      <c r="I262" s="60">
        <f>PSK_AT_verzia_4_0!I262-PSK_AT_verzia_3_5!I247</f>
        <v>0</v>
      </c>
      <c r="J262" s="60">
        <f>PSK_AT_verzia_4_0!J262-PSK_AT_verzia_3_5!J247</f>
        <v>0</v>
      </c>
      <c r="K262" s="60">
        <f>PSK_AT_verzia_4_0!K262-PSK_AT_verzia_3_5!K247</f>
        <v>0</v>
      </c>
      <c r="L262" s="60">
        <f>PSK_AT_verzia_4_0!L262-PSK_AT_verzia_3_5!L247</f>
        <v>0</v>
      </c>
      <c r="M262" s="60">
        <f>PSK_AT_verzia_4_0!M262-PSK_AT_verzia_3_5!M247</f>
        <v>0</v>
      </c>
      <c r="N262" s="60">
        <f>PSK_AT_verzia_4_0!N262-PSK_AT_verzia_3_5!N247</f>
        <v>0</v>
      </c>
      <c r="O262" s="60">
        <f>PSK_AT_verzia_4_0!O262-PSK_AT_verzia_3_5!O247</f>
        <v>0</v>
      </c>
      <c r="P262" s="60">
        <f>PSK_AT_verzia_4_0!P262-PSK_AT_verzia_3_5!P247</f>
        <v>0</v>
      </c>
      <c r="Q262" s="60">
        <f>PSK_AT_verzia_4_0!Q262-PSK_AT_verzia_3_5!Q247</f>
        <v>0</v>
      </c>
    </row>
    <row r="263" spans="1:22" ht="28" customHeight="1" x14ac:dyDescent="0.35">
      <c r="A263" s="252"/>
      <c r="B263" s="251"/>
      <c r="C263" s="200">
        <f>PSK_AT_verzia_4_0!C263-PSK_AT_verzia_3_5!C248</f>
        <v>0</v>
      </c>
      <c r="D263" s="200">
        <f>PSK_AT_verzia_4_0!D263-PSK_AT_verzia_3_5!D248</f>
        <v>0</v>
      </c>
      <c r="E263" s="200">
        <f>PSK_AT_verzia_4_0!E263-PSK_AT_verzia_3_5!E248</f>
        <v>0</v>
      </c>
      <c r="F263" s="66" t="s">
        <v>151</v>
      </c>
      <c r="G263" s="67">
        <f>PSK_AT_verzia_4_0!G263-PSK_AT_verzia_3_5!G248</f>
        <v>0</v>
      </c>
      <c r="H263" s="67">
        <f>PSK_AT_verzia_4_0!H263-PSK_AT_verzia_3_5!H248</f>
        <v>0</v>
      </c>
      <c r="I263" s="67">
        <f>PSK_AT_verzia_4_0!I263-PSK_AT_verzia_3_5!I248</f>
        <v>0</v>
      </c>
      <c r="J263" s="67">
        <f>PSK_AT_verzia_4_0!J263-PSK_AT_verzia_3_5!J248</f>
        <v>0</v>
      </c>
      <c r="K263" s="67">
        <f>PSK_AT_verzia_4_0!K263-PSK_AT_verzia_3_5!K248</f>
        <v>0</v>
      </c>
      <c r="L263" s="67">
        <f>PSK_AT_verzia_4_0!L263-PSK_AT_verzia_3_5!L248</f>
        <v>0</v>
      </c>
      <c r="M263" s="67">
        <f>PSK_AT_verzia_4_0!M263-PSK_AT_verzia_3_5!M248</f>
        <v>0</v>
      </c>
      <c r="N263" s="67">
        <f>PSK_AT_verzia_4_0!N263-PSK_AT_verzia_3_5!N248</f>
        <v>0</v>
      </c>
      <c r="O263" s="67">
        <f>PSK_AT_verzia_4_0!O263-PSK_AT_verzia_3_5!O248</f>
        <v>0</v>
      </c>
      <c r="P263" s="67">
        <f>PSK_AT_verzia_4_0!P263-PSK_AT_verzia_3_5!P248</f>
        <v>0</v>
      </c>
      <c r="Q263" s="67">
        <f>PSK_AT_verzia_4_0!Q263-PSK_AT_verzia_3_5!Q248</f>
        <v>0</v>
      </c>
    </row>
    <row r="264" spans="1:22" ht="28" customHeight="1" x14ac:dyDescent="0.35">
      <c r="A264" s="252" t="s">
        <v>243</v>
      </c>
      <c r="B264" s="251" t="s">
        <v>244</v>
      </c>
      <c r="C264" s="57">
        <f>PSK_AT_verzia_4_0!C264-PSK_AT_verzia_3_5!C249</f>
        <v>-1749264</v>
      </c>
      <c r="D264" s="57">
        <f>PSK_AT_verzia_4_0!D264-PSK_AT_verzia_3_5!D249</f>
        <v>0</v>
      </c>
      <c r="E264" s="57">
        <f>PSK_AT_verzia_4_0!E264-PSK_AT_verzia_3_5!E249</f>
        <v>0</v>
      </c>
      <c r="F264" s="59" t="s">
        <v>245</v>
      </c>
      <c r="G264" s="58">
        <f>PSK_AT_verzia_4_0!G264-PSK_AT_verzia_3_5!G249</f>
        <v>-1749264</v>
      </c>
      <c r="H264" s="58">
        <f>PSK_AT_verzia_4_0!H264-PSK_AT_verzia_3_5!H249</f>
        <v>-1749264</v>
      </c>
      <c r="I264" s="58">
        <f>PSK_AT_verzia_4_0!I264-PSK_AT_verzia_3_5!I249</f>
        <v>0</v>
      </c>
      <c r="J264" s="58">
        <f>PSK_AT_verzia_4_0!J264-PSK_AT_verzia_3_5!J249</f>
        <v>-1749264</v>
      </c>
      <c r="K264" s="58">
        <f>PSK_AT_verzia_4_0!K264-PSK_AT_verzia_3_5!K249</f>
        <v>-1749264</v>
      </c>
      <c r="L264" s="58">
        <f>PSK_AT_verzia_4_0!L264-PSK_AT_verzia_3_5!L249</f>
        <v>0</v>
      </c>
      <c r="M264" s="58">
        <f>PSK_AT_verzia_4_0!M264-PSK_AT_verzia_3_5!M249</f>
        <v>0</v>
      </c>
      <c r="N264" s="58">
        <f>PSK_AT_verzia_4_0!N264-PSK_AT_verzia_3_5!N249</f>
        <v>0</v>
      </c>
      <c r="O264" s="58">
        <f>PSK_AT_verzia_4_0!O264-PSK_AT_verzia_3_5!O249</f>
        <v>0</v>
      </c>
      <c r="P264" s="58">
        <f>PSK_AT_verzia_4_0!P264-PSK_AT_verzia_3_5!P249</f>
        <v>0</v>
      </c>
      <c r="Q264" s="58">
        <f>PSK_AT_verzia_4_0!Q264-PSK_AT_verzia_3_5!Q249</f>
        <v>0</v>
      </c>
    </row>
    <row r="265" spans="1:22" ht="28" customHeight="1" x14ac:dyDescent="0.35">
      <c r="A265" s="252"/>
      <c r="B265" s="251"/>
      <c r="C265" s="99">
        <f>PSK_AT_verzia_4_0!C265-PSK_AT_verzia_3_5!C250</f>
        <v>-1749264</v>
      </c>
      <c r="D265" s="60">
        <f>PSK_AT_verzia_4_0!D265-PSK_AT_verzia_3_5!D250</f>
        <v>0</v>
      </c>
      <c r="E265" s="60">
        <f>PSK_AT_verzia_4_0!E265-PSK_AT_verzia_3_5!E250</f>
        <v>0</v>
      </c>
      <c r="F265" s="61" t="s">
        <v>150</v>
      </c>
      <c r="G265" s="60">
        <f>PSK_AT_verzia_4_0!G265-PSK_AT_verzia_3_5!G250</f>
        <v>-1749264</v>
      </c>
      <c r="H265" s="60">
        <f>PSK_AT_verzia_4_0!H265-PSK_AT_verzia_3_5!H250</f>
        <v>-1749264</v>
      </c>
      <c r="I265" s="60">
        <f>PSK_AT_verzia_4_0!I265-PSK_AT_verzia_3_5!I250</f>
        <v>0</v>
      </c>
      <c r="J265" s="60">
        <f>PSK_AT_verzia_4_0!J265-PSK_AT_verzia_3_5!J250</f>
        <v>-1749264</v>
      </c>
      <c r="K265" s="60">
        <f>PSK_AT_verzia_4_0!K265-PSK_AT_verzia_3_5!K250</f>
        <v>-1749264</v>
      </c>
      <c r="L265" s="60">
        <f>PSK_AT_verzia_4_0!L265-PSK_AT_verzia_3_5!L250</f>
        <v>0</v>
      </c>
      <c r="M265" s="60">
        <f>PSK_AT_verzia_4_0!M265-PSK_AT_verzia_3_5!M250</f>
        <v>0</v>
      </c>
      <c r="N265" s="60">
        <f>PSK_AT_verzia_4_0!N265-PSK_AT_verzia_3_5!N250</f>
        <v>0</v>
      </c>
      <c r="O265" s="60">
        <f>PSK_AT_verzia_4_0!O265-PSK_AT_verzia_3_5!O250</f>
        <v>0</v>
      </c>
      <c r="P265" s="60">
        <f>PSK_AT_verzia_4_0!P265-PSK_AT_verzia_3_5!P250</f>
        <v>0</v>
      </c>
      <c r="Q265" s="60">
        <f>PSK_AT_verzia_4_0!Q265-PSK_AT_verzia_3_5!Q250</f>
        <v>0</v>
      </c>
    </row>
    <row r="266" spans="1:22" ht="28" customHeight="1" x14ac:dyDescent="0.35">
      <c r="A266" s="252"/>
      <c r="B266" s="251"/>
      <c r="C266" s="200">
        <f>PSK_AT_verzia_4_0!C266-PSK_AT_verzia_3_5!C251</f>
        <v>0</v>
      </c>
      <c r="D266" s="200">
        <f>PSK_AT_verzia_4_0!D266-PSK_AT_verzia_3_5!D251</f>
        <v>0</v>
      </c>
      <c r="E266" s="200">
        <f>PSK_AT_verzia_4_0!E266-PSK_AT_verzia_3_5!E251</f>
        <v>0</v>
      </c>
      <c r="F266" s="66" t="s">
        <v>151</v>
      </c>
      <c r="G266" s="67">
        <f>PSK_AT_verzia_4_0!G266-PSK_AT_verzia_3_5!G251</f>
        <v>0</v>
      </c>
      <c r="H266" s="67">
        <f>PSK_AT_verzia_4_0!H266-PSK_AT_verzia_3_5!H251</f>
        <v>0</v>
      </c>
      <c r="I266" s="67">
        <f>PSK_AT_verzia_4_0!I266-PSK_AT_verzia_3_5!I251</f>
        <v>0</v>
      </c>
      <c r="J266" s="67">
        <f>PSK_AT_verzia_4_0!J266-PSK_AT_verzia_3_5!J251</f>
        <v>0</v>
      </c>
      <c r="K266" s="67">
        <f>PSK_AT_verzia_4_0!K266-PSK_AT_verzia_3_5!K251</f>
        <v>0</v>
      </c>
      <c r="L266" s="67">
        <f>PSK_AT_verzia_4_0!L266-PSK_AT_verzia_3_5!L251</f>
        <v>0</v>
      </c>
      <c r="M266" s="67">
        <f>PSK_AT_verzia_4_0!M266-PSK_AT_verzia_3_5!M251</f>
        <v>0</v>
      </c>
      <c r="N266" s="67">
        <f>PSK_AT_verzia_4_0!N266-PSK_AT_verzia_3_5!N251</f>
        <v>0</v>
      </c>
      <c r="O266" s="67">
        <f>PSK_AT_verzia_4_0!O266-PSK_AT_verzia_3_5!O251</f>
        <v>0</v>
      </c>
      <c r="P266" s="67">
        <f>PSK_AT_verzia_4_0!P266-PSK_AT_verzia_3_5!P251</f>
        <v>0</v>
      </c>
      <c r="Q266" s="67">
        <f>PSK_AT_verzia_4_0!Q266-PSK_AT_verzia_3_5!Q251</f>
        <v>0</v>
      </c>
    </row>
    <row r="267" spans="1:22" ht="28" customHeight="1" x14ac:dyDescent="0.35">
      <c r="A267" s="252"/>
      <c r="B267" s="251"/>
      <c r="C267" s="200">
        <f>PSK_AT_verzia_4_0!C267-PSK_AT_verzia_3_5!C252</f>
        <v>0</v>
      </c>
      <c r="D267" s="200">
        <f>PSK_AT_verzia_4_0!D267-PSK_AT_verzia_3_5!D252</f>
        <v>0</v>
      </c>
      <c r="E267" s="200">
        <f>PSK_AT_verzia_4_0!E267-PSK_AT_verzia_3_5!E252</f>
        <v>0</v>
      </c>
      <c r="F267" s="66" t="s">
        <v>152</v>
      </c>
      <c r="G267" s="71">
        <f>PSK_AT_verzia_4_0!G267-PSK_AT_verzia_3_5!G252</f>
        <v>-550908</v>
      </c>
      <c r="H267" s="71">
        <f>PSK_AT_verzia_4_0!H267-PSK_AT_verzia_3_5!H252</f>
        <v>-550908</v>
      </c>
      <c r="I267" s="71">
        <f>PSK_AT_verzia_4_0!I267-PSK_AT_verzia_3_5!I252</f>
        <v>0</v>
      </c>
      <c r="J267" s="71">
        <f>PSK_AT_verzia_4_0!J267-PSK_AT_verzia_3_5!J252</f>
        <v>-550908</v>
      </c>
      <c r="K267" s="71">
        <f>PSK_AT_verzia_4_0!K267-PSK_AT_verzia_3_5!K252</f>
        <v>-550908</v>
      </c>
      <c r="L267" s="71">
        <f>PSK_AT_verzia_4_0!L267-PSK_AT_verzia_3_5!L252</f>
        <v>0</v>
      </c>
      <c r="M267" s="71">
        <f>PSK_AT_verzia_4_0!M267-PSK_AT_verzia_3_5!M252</f>
        <v>0</v>
      </c>
      <c r="N267" s="71">
        <f>PSK_AT_verzia_4_0!N267-PSK_AT_verzia_3_5!N252</f>
        <v>0</v>
      </c>
      <c r="O267" s="71">
        <f>PSK_AT_verzia_4_0!O267-PSK_AT_verzia_3_5!O252</f>
        <v>0</v>
      </c>
      <c r="P267" s="71">
        <f>PSK_AT_verzia_4_0!P267-PSK_AT_verzia_3_5!P252</f>
        <v>0</v>
      </c>
      <c r="Q267" s="71">
        <f>PSK_AT_verzia_4_0!Q267-PSK_AT_verzia_3_5!Q252</f>
        <v>0</v>
      </c>
    </row>
    <row r="268" spans="1:22" ht="28" customHeight="1" x14ac:dyDescent="0.35">
      <c r="A268" s="252"/>
      <c r="B268" s="251"/>
      <c r="C268" s="200">
        <f>PSK_AT_verzia_4_0!C268-PSK_AT_verzia_3_5!C253</f>
        <v>0</v>
      </c>
      <c r="D268" s="200">
        <f>PSK_AT_verzia_4_0!D268-PSK_AT_verzia_3_5!D253</f>
        <v>0</v>
      </c>
      <c r="E268" s="200">
        <f>PSK_AT_verzia_4_0!E268-PSK_AT_verzia_3_5!E253</f>
        <v>0</v>
      </c>
      <c r="F268" s="66" t="s">
        <v>153</v>
      </c>
      <c r="G268" s="71">
        <f>PSK_AT_verzia_4_0!G268-PSK_AT_verzia_3_5!G253</f>
        <v>-1198356</v>
      </c>
      <c r="H268" s="71">
        <f>PSK_AT_verzia_4_0!H268-PSK_AT_verzia_3_5!H253</f>
        <v>-1198356</v>
      </c>
      <c r="I268" s="71">
        <f>PSK_AT_verzia_4_0!I268-PSK_AT_verzia_3_5!I253</f>
        <v>0</v>
      </c>
      <c r="J268" s="71">
        <f>PSK_AT_verzia_4_0!J268-PSK_AT_verzia_3_5!J253</f>
        <v>-1198356</v>
      </c>
      <c r="K268" s="71">
        <f>PSK_AT_verzia_4_0!K268-PSK_AT_verzia_3_5!K253</f>
        <v>-1198356</v>
      </c>
      <c r="L268" s="71">
        <f>PSK_AT_verzia_4_0!L268-PSK_AT_verzia_3_5!L253</f>
        <v>0</v>
      </c>
      <c r="M268" s="71">
        <f>PSK_AT_verzia_4_0!M268-PSK_AT_verzia_3_5!M253</f>
        <v>0</v>
      </c>
      <c r="N268" s="71">
        <f>PSK_AT_verzia_4_0!N268-PSK_AT_verzia_3_5!N253</f>
        <v>0</v>
      </c>
      <c r="O268" s="71">
        <f>PSK_AT_verzia_4_0!O268-PSK_AT_verzia_3_5!O253</f>
        <v>0</v>
      </c>
      <c r="P268" s="71">
        <f>PSK_AT_verzia_4_0!P268-PSK_AT_verzia_3_5!P253</f>
        <v>0</v>
      </c>
      <c r="Q268" s="71">
        <f>PSK_AT_verzia_4_0!Q268-PSK_AT_verzia_3_5!Q253</f>
        <v>0</v>
      </c>
    </row>
    <row r="269" spans="1:22" ht="28" customHeight="1" x14ac:dyDescent="0.35">
      <c r="A269" s="263" t="s">
        <v>246</v>
      </c>
      <c r="B269" s="265" t="s">
        <v>247</v>
      </c>
      <c r="C269" s="57">
        <f>PSK_AT_verzia_4_0!C269-PSK_AT_verzia_3_5!C254</f>
        <v>4896167</v>
      </c>
      <c r="D269" s="57">
        <f>PSK_AT_verzia_4_0!D269-PSK_AT_verzia_3_5!D254</f>
        <v>0</v>
      </c>
      <c r="E269" s="57">
        <f>PSK_AT_verzia_4_0!E269-PSK_AT_verzia_3_5!E254</f>
        <v>0</v>
      </c>
      <c r="F269" s="59" t="s">
        <v>248</v>
      </c>
      <c r="G269" s="58">
        <f>PSK_AT_verzia_4_0!G269-PSK_AT_verzia_3_5!G254</f>
        <v>8496167</v>
      </c>
      <c r="H269" s="58">
        <f>PSK_AT_verzia_4_0!H269-PSK_AT_verzia_3_5!H254</f>
        <v>7257638</v>
      </c>
      <c r="I269" s="58">
        <f>PSK_AT_verzia_4_0!I269-PSK_AT_verzia_3_5!I254</f>
        <v>1238529</v>
      </c>
      <c r="J269" s="58">
        <f>PSK_AT_verzia_4_0!J269-PSK_AT_verzia_3_5!J254</f>
        <v>8496167</v>
      </c>
      <c r="K269" s="58">
        <f>PSK_AT_verzia_4_0!K269-PSK_AT_verzia_3_5!K254</f>
        <v>7257638</v>
      </c>
      <c r="L269" s="58">
        <f>PSK_AT_verzia_4_0!L269-PSK_AT_verzia_3_5!L254</f>
        <v>1238529</v>
      </c>
      <c r="M269" s="58">
        <f>PSK_AT_verzia_4_0!M269-PSK_AT_verzia_3_5!M254</f>
        <v>0</v>
      </c>
      <c r="N269" s="58">
        <f>PSK_AT_verzia_4_0!N269-PSK_AT_verzia_3_5!N254</f>
        <v>0</v>
      </c>
      <c r="O269" s="58">
        <f>PSK_AT_verzia_4_0!O269-PSK_AT_verzia_3_5!O254</f>
        <v>0</v>
      </c>
      <c r="P269" s="58">
        <f>PSK_AT_verzia_4_0!P269-PSK_AT_verzia_3_5!P254</f>
        <v>0</v>
      </c>
      <c r="Q269" s="58">
        <f>PSK_AT_verzia_4_0!Q269-PSK_AT_verzia_3_5!Q254</f>
        <v>0</v>
      </c>
      <c r="R269" s="89"/>
      <c r="S269" s="89"/>
      <c r="T269" s="89"/>
      <c r="U269" s="89"/>
      <c r="V269" s="89"/>
    </row>
    <row r="270" spans="1:22" ht="28" customHeight="1" x14ac:dyDescent="0.35">
      <c r="A270" s="252"/>
      <c r="B270" s="265"/>
      <c r="C270" s="99">
        <f>PSK_AT_verzia_4_0!C270-PSK_AT_verzia_3_5!C255</f>
        <v>4896167</v>
      </c>
      <c r="D270" s="60">
        <f>PSK_AT_verzia_4_0!D270-PSK_AT_verzia_3_5!D255</f>
        <v>0</v>
      </c>
      <c r="E270" s="60">
        <f>PSK_AT_verzia_4_0!E270-PSK_AT_verzia_3_5!E255</f>
        <v>0</v>
      </c>
      <c r="F270" s="61" t="s">
        <v>36</v>
      </c>
      <c r="G270" s="60">
        <f>PSK_AT_verzia_4_0!G270-PSK_AT_verzia_3_5!G255</f>
        <v>8496167</v>
      </c>
      <c r="H270" s="60">
        <f>PSK_AT_verzia_4_0!H270-PSK_AT_verzia_3_5!H255</f>
        <v>7257638</v>
      </c>
      <c r="I270" s="60">
        <f>PSK_AT_verzia_4_0!I270-PSK_AT_verzia_3_5!I255</f>
        <v>1238529</v>
      </c>
      <c r="J270" s="60">
        <f>PSK_AT_verzia_4_0!J270-PSK_AT_verzia_3_5!J255</f>
        <v>8496167</v>
      </c>
      <c r="K270" s="60">
        <f>PSK_AT_verzia_4_0!K270-PSK_AT_verzia_3_5!K255</f>
        <v>7257638</v>
      </c>
      <c r="L270" s="60">
        <f>PSK_AT_verzia_4_0!L270-PSK_AT_verzia_3_5!L255</f>
        <v>1238529</v>
      </c>
      <c r="M270" s="60">
        <f>PSK_AT_verzia_4_0!M270-PSK_AT_verzia_3_5!M255</f>
        <v>0</v>
      </c>
      <c r="N270" s="60">
        <f>PSK_AT_verzia_4_0!N270-PSK_AT_verzia_3_5!N255</f>
        <v>0</v>
      </c>
      <c r="O270" s="60">
        <f>PSK_AT_verzia_4_0!O270-PSK_AT_verzia_3_5!O255</f>
        <v>0</v>
      </c>
      <c r="P270" s="60">
        <f>PSK_AT_verzia_4_0!P270-PSK_AT_verzia_3_5!P255</f>
        <v>0</v>
      </c>
      <c r="Q270" s="60">
        <f>PSK_AT_verzia_4_0!Q270-PSK_AT_verzia_3_5!Q255</f>
        <v>0</v>
      </c>
      <c r="R270" s="89"/>
      <c r="S270" s="89"/>
      <c r="T270" s="89"/>
      <c r="U270" s="89"/>
      <c r="V270" s="89"/>
    </row>
    <row r="271" spans="1:22" ht="28" customHeight="1" x14ac:dyDescent="0.35">
      <c r="A271" s="252"/>
      <c r="B271" s="265"/>
      <c r="C271" s="200">
        <f>PSK_AT_verzia_4_0!C271-PSK_AT_verzia_3_5!C256</f>
        <v>0</v>
      </c>
      <c r="D271" s="200">
        <f>PSK_AT_verzia_4_0!D271-PSK_AT_verzia_3_5!D256</f>
        <v>0</v>
      </c>
      <c r="E271" s="200">
        <f>PSK_AT_verzia_4_0!E271-PSK_AT_verzia_3_5!E256</f>
        <v>0</v>
      </c>
      <c r="F271" s="66" t="s">
        <v>37</v>
      </c>
      <c r="G271" s="67">
        <f>PSK_AT_verzia_4_0!G271-PSK_AT_verzia_3_5!G256</f>
        <v>3600000</v>
      </c>
      <c r="H271" s="67">
        <f>PSK_AT_verzia_4_0!H271-PSK_AT_verzia_3_5!H256</f>
        <v>3600000</v>
      </c>
      <c r="I271" s="67">
        <f>PSK_AT_verzia_4_0!I271-PSK_AT_verzia_3_5!I256</f>
        <v>0</v>
      </c>
      <c r="J271" s="67">
        <f>PSK_AT_verzia_4_0!J271-PSK_AT_verzia_3_5!J256</f>
        <v>3600000</v>
      </c>
      <c r="K271" s="67">
        <f>PSK_AT_verzia_4_0!K271-PSK_AT_verzia_3_5!K256</f>
        <v>3600000</v>
      </c>
      <c r="L271" s="67">
        <f>PSK_AT_verzia_4_0!L271-PSK_AT_verzia_3_5!L256</f>
        <v>0</v>
      </c>
      <c r="M271" s="67">
        <f>PSK_AT_verzia_4_0!M271-PSK_AT_verzia_3_5!M256</f>
        <v>0</v>
      </c>
      <c r="N271" s="67">
        <f>PSK_AT_verzia_4_0!N271-PSK_AT_verzia_3_5!N256</f>
        <v>0</v>
      </c>
      <c r="O271" s="67">
        <f>PSK_AT_verzia_4_0!O271-PSK_AT_verzia_3_5!O256</f>
        <v>0</v>
      </c>
      <c r="P271" s="67">
        <f>PSK_AT_verzia_4_0!P271-PSK_AT_verzia_3_5!P256</f>
        <v>0</v>
      </c>
      <c r="Q271" s="67">
        <f>PSK_AT_verzia_4_0!Q271-PSK_AT_verzia_3_5!Q256</f>
        <v>0</v>
      </c>
      <c r="R271" s="89"/>
      <c r="S271" s="89"/>
      <c r="T271" s="89"/>
      <c r="U271" s="89"/>
      <c r="V271" s="89"/>
    </row>
    <row r="272" spans="1:22" ht="28" customHeight="1" x14ac:dyDescent="0.35">
      <c r="A272" s="252"/>
      <c r="B272" s="265"/>
      <c r="C272" s="200">
        <f>PSK_AT_verzia_4_0!C272-PSK_AT_verzia_3_5!C257</f>
        <v>0</v>
      </c>
      <c r="D272" s="200">
        <f>PSK_AT_verzia_4_0!D272-PSK_AT_verzia_3_5!D257</f>
        <v>0</v>
      </c>
      <c r="E272" s="200">
        <f>PSK_AT_verzia_4_0!E272-PSK_AT_verzia_3_5!E257</f>
        <v>0</v>
      </c>
      <c r="F272" s="66" t="s">
        <v>38</v>
      </c>
      <c r="G272" s="71">
        <f>PSK_AT_verzia_4_0!G272-PSK_AT_verzia_3_5!G257</f>
        <v>209377</v>
      </c>
      <c r="H272" s="71">
        <f>PSK_AT_verzia_4_0!H272-PSK_AT_verzia_3_5!H257</f>
        <v>55392</v>
      </c>
      <c r="I272" s="71">
        <f>PSK_AT_verzia_4_0!I272-PSK_AT_verzia_3_5!I257</f>
        <v>153985</v>
      </c>
      <c r="J272" s="71">
        <f>PSK_AT_verzia_4_0!J272-PSK_AT_verzia_3_5!J257</f>
        <v>209377</v>
      </c>
      <c r="K272" s="71">
        <f>PSK_AT_verzia_4_0!K272-PSK_AT_verzia_3_5!K257</f>
        <v>55392</v>
      </c>
      <c r="L272" s="71">
        <f>PSK_AT_verzia_4_0!L272-PSK_AT_verzia_3_5!L257</f>
        <v>153985</v>
      </c>
      <c r="M272" s="71">
        <f>PSK_AT_verzia_4_0!M272-PSK_AT_verzia_3_5!M257</f>
        <v>0</v>
      </c>
      <c r="N272" s="71">
        <f>PSK_AT_verzia_4_0!N272-PSK_AT_verzia_3_5!N257</f>
        <v>0</v>
      </c>
      <c r="O272" s="71">
        <f>PSK_AT_verzia_4_0!O272-PSK_AT_verzia_3_5!O257</f>
        <v>0</v>
      </c>
      <c r="P272" s="71">
        <f>PSK_AT_verzia_4_0!P272-PSK_AT_verzia_3_5!P257</f>
        <v>0</v>
      </c>
      <c r="Q272" s="71">
        <f>PSK_AT_verzia_4_0!Q272-PSK_AT_verzia_3_5!Q257</f>
        <v>0</v>
      </c>
      <c r="R272" s="89"/>
      <c r="S272" s="89"/>
      <c r="T272" s="89"/>
      <c r="U272" s="89"/>
      <c r="V272" s="89"/>
    </row>
    <row r="273" spans="1:22" ht="28" customHeight="1" x14ac:dyDescent="0.35">
      <c r="A273" s="252"/>
      <c r="B273" s="265"/>
      <c r="C273" s="200">
        <f>PSK_AT_verzia_4_0!C273-PSK_AT_verzia_3_5!C258</f>
        <v>0</v>
      </c>
      <c r="D273" s="200">
        <f>PSK_AT_verzia_4_0!D273-PSK_AT_verzia_3_5!D258</f>
        <v>0</v>
      </c>
      <c r="E273" s="200">
        <f>PSK_AT_verzia_4_0!E273-PSK_AT_verzia_3_5!E258</f>
        <v>0</v>
      </c>
      <c r="F273" s="66" t="s">
        <v>39</v>
      </c>
      <c r="G273" s="71">
        <f>PSK_AT_verzia_4_0!G273-PSK_AT_verzia_3_5!G258</f>
        <v>4686790</v>
      </c>
      <c r="H273" s="71">
        <f>PSK_AT_verzia_4_0!H273-PSK_AT_verzia_3_5!H258</f>
        <v>3602246</v>
      </c>
      <c r="I273" s="71">
        <f>PSK_AT_verzia_4_0!I273-PSK_AT_verzia_3_5!I258</f>
        <v>1084544</v>
      </c>
      <c r="J273" s="71">
        <f>PSK_AT_verzia_4_0!J273-PSK_AT_verzia_3_5!J258</f>
        <v>4686790</v>
      </c>
      <c r="K273" s="71">
        <f>PSK_AT_verzia_4_0!K273-PSK_AT_verzia_3_5!K258</f>
        <v>3602246</v>
      </c>
      <c r="L273" s="71">
        <f>PSK_AT_verzia_4_0!L273-PSK_AT_verzia_3_5!L258</f>
        <v>1084544</v>
      </c>
      <c r="M273" s="71">
        <f>PSK_AT_verzia_4_0!M273-PSK_AT_verzia_3_5!M258</f>
        <v>0</v>
      </c>
      <c r="N273" s="71">
        <f>PSK_AT_verzia_4_0!N273-PSK_AT_verzia_3_5!N258</f>
        <v>0</v>
      </c>
      <c r="O273" s="71">
        <f>PSK_AT_verzia_4_0!O273-PSK_AT_verzia_3_5!O258</f>
        <v>0</v>
      </c>
      <c r="P273" s="71">
        <f>PSK_AT_verzia_4_0!P273-PSK_AT_verzia_3_5!P258</f>
        <v>0</v>
      </c>
      <c r="Q273" s="71">
        <f>PSK_AT_verzia_4_0!Q273-PSK_AT_verzia_3_5!Q258</f>
        <v>0</v>
      </c>
      <c r="R273" s="89"/>
      <c r="S273" s="89"/>
      <c r="T273" s="89"/>
      <c r="U273" s="89"/>
      <c r="V273" s="89"/>
    </row>
    <row r="274" spans="1:22" ht="28" customHeight="1" x14ac:dyDescent="0.35">
      <c r="A274" s="263" t="s">
        <v>249</v>
      </c>
      <c r="B274" s="251" t="s">
        <v>250</v>
      </c>
      <c r="C274" s="57">
        <f>PSK_AT_verzia_4_0!C274-PSK_AT_verzia_3_5!C259</f>
        <v>0</v>
      </c>
      <c r="D274" s="57">
        <f>PSK_AT_verzia_4_0!D274-PSK_AT_verzia_3_5!D259</f>
        <v>0</v>
      </c>
      <c r="E274" s="57">
        <f>PSK_AT_verzia_4_0!E274-PSK_AT_verzia_3_5!E259</f>
        <v>0</v>
      </c>
      <c r="F274" s="59" t="s">
        <v>251</v>
      </c>
      <c r="G274" s="58">
        <f>PSK_AT_verzia_4_0!G274-PSK_AT_verzia_3_5!G259</f>
        <v>0</v>
      </c>
      <c r="H274" s="58">
        <f>PSK_AT_verzia_4_0!H274-PSK_AT_verzia_3_5!H259</f>
        <v>0</v>
      </c>
      <c r="I274" s="58">
        <f>PSK_AT_verzia_4_0!I274-PSK_AT_verzia_3_5!I259</f>
        <v>0</v>
      </c>
      <c r="J274" s="58">
        <f>PSK_AT_verzia_4_0!J274-PSK_AT_verzia_3_5!J259</f>
        <v>0</v>
      </c>
      <c r="K274" s="58">
        <f>PSK_AT_verzia_4_0!K274-PSK_AT_verzia_3_5!K259</f>
        <v>0</v>
      </c>
      <c r="L274" s="58">
        <f>PSK_AT_verzia_4_0!L274-PSK_AT_verzia_3_5!L259</f>
        <v>0</v>
      </c>
      <c r="M274" s="58">
        <f>PSK_AT_verzia_4_0!M274-PSK_AT_verzia_3_5!M259</f>
        <v>0</v>
      </c>
      <c r="N274" s="58">
        <f>PSK_AT_verzia_4_0!N274-PSK_AT_verzia_3_5!N259</f>
        <v>0</v>
      </c>
      <c r="O274" s="58">
        <f>PSK_AT_verzia_4_0!O274-PSK_AT_verzia_3_5!O259</f>
        <v>0</v>
      </c>
      <c r="P274" s="58">
        <f>PSK_AT_verzia_4_0!P274-PSK_AT_verzia_3_5!P259</f>
        <v>0</v>
      </c>
      <c r="Q274" s="58">
        <f>PSK_AT_verzia_4_0!Q274-PSK_AT_verzia_3_5!Q259</f>
        <v>0</v>
      </c>
    </row>
    <row r="275" spans="1:22" ht="28" customHeight="1" x14ac:dyDescent="0.35">
      <c r="A275" s="252"/>
      <c r="B275" s="251"/>
      <c r="C275" s="60">
        <f>PSK_AT_verzia_4_0!C275-PSK_AT_verzia_3_5!C260</f>
        <v>0</v>
      </c>
      <c r="D275" s="60">
        <f>PSK_AT_verzia_4_0!D275-PSK_AT_verzia_3_5!D260</f>
        <v>0</v>
      </c>
      <c r="E275" s="60">
        <f>PSK_AT_verzia_4_0!E275-PSK_AT_verzia_3_5!E260</f>
        <v>0</v>
      </c>
      <c r="F275" s="61" t="s">
        <v>150</v>
      </c>
      <c r="G275" s="60">
        <f>PSK_AT_verzia_4_0!G275-PSK_AT_verzia_3_5!G260</f>
        <v>0</v>
      </c>
      <c r="H275" s="60">
        <f>PSK_AT_verzia_4_0!H275-PSK_AT_verzia_3_5!H260</f>
        <v>0</v>
      </c>
      <c r="I275" s="60">
        <f>PSK_AT_verzia_4_0!I275-PSK_AT_verzia_3_5!I260</f>
        <v>0</v>
      </c>
      <c r="J275" s="60">
        <f>PSK_AT_verzia_4_0!J275-PSK_AT_verzia_3_5!J260</f>
        <v>0</v>
      </c>
      <c r="K275" s="60">
        <f>PSK_AT_verzia_4_0!K275-PSK_AT_verzia_3_5!K260</f>
        <v>0</v>
      </c>
      <c r="L275" s="60">
        <f>PSK_AT_verzia_4_0!L275-PSK_AT_verzia_3_5!L260</f>
        <v>0</v>
      </c>
      <c r="M275" s="60">
        <f>PSK_AT_verzia_4_0!M275-PSK_AT_verzia_3_5!M260</f>
        <v>0</v>
      </c>
      <c r="N275" s="60">
        <f>PSK_AT_verzia_4_0!N275-PSK_AT_verzia_3_5!N260</f>
        <v>0</v>
      </c>
      <c r="O275" s="60">
        <f>PSK_AT_verzia_4_0!O275-PSK_AT_verzia_3_5!O260</f>
        <v>0</v>
      </c>
      <c r="P275" s="60">
        <f>PSK_AT_verzia_4_0!P275-PSK_AT_verzia_3_5!P260</f>
        <v>0</v>
      </c>
      <c r="Q275" s="60">
        <f>PSK_AT_verzia_4_0!Q275-PSK_AT_verzia_3_5!Q260</f>
        <v>0</v>
      </c>
    </row>
    <row r="276" spans="1:22" ht="28" customHeight="1" x14ac:dyDescent="0.35">
      <c r="A276" s="252"/>
      <c r="B276" s="251"/>
      <c r="C276" s="200">
        <f>PSK_AT_verzia_4_0!C276-PSK_AT_verzia_3_5!C261</f>
        <v>0</v>
      </c>
      <c r="D276" s="200">
        <f>PSK_AT_verzia_4_0!D276-PSK_AT_verzia_3_5!D261</f>
        <v>0</v>
      </c>
      <c r="E276" s="200">
        <f>PSK_AT_verzia_4_0!E276-PSK_AT_verzia_3_5!E261</f>
        <v>0</v>
      </c>
      <c r="F276" s="66" t="s">
        <v>151</v>
      </c>
      <c r="G276" s="67">
        <f>PSK_AT_verzia_4_0!G276-PSK_AT_verzia_3_5!G261</f>
        <v>0</v>
      </c>
      <c r="H276" s="67">
        <f>PSK_AT_verzia_4_0!H276-PSK_AT_verzia_3_5!H261</f>
        <v>0</v>
      </c>
      <c r="I276" s="67">
        <f>PSK_AT_verzia_4_0!I276-PSK_AT_verzia_3_5!I261</f>
        <v>0</v>
      </c>
      <c r="J276" s="67">
        <f>PSK_AT_verzia_4_0!J276-PSK_AT_verzia_3_5!J261</f>
        <v>0</v>
      </c>
      <c r="K276" s="67">
        <f>PSK_AT_verzia_4_0!K276-PSK_AT_verzia_3_5!K261</f>
        <v>0</v>
      </c>
      <c r="L276" s="67">
        <f>PSK_AT_verzia_4_0!L276-PSK_AT_verzia_3_5!L261</f>
        <v>0</v>
      </c>
      <c r="M276" s="67">
        <f>PSK_AT_verzia_4_0!M276-PSK_AT_verzia_3_5!M261</f>
        <v>0</v>
      </c>
      <c r="N276" s="67">
        <f>PSK_AT_verzia_4_0!N276-PSK_AT_verzia_3_5!N261</f>
        <v>0</v>
      </c>
      <c r="O276" s="67">
        <f>PSK_AT_verzia_4_0!O276-PSK_AT_verzia_3_5!O261</f>
        <v>0</v>
      </c>
      <c r="P276" s="67">
        <f>PSK_AT_verzia_4_0!P276-PSK_AT_verzia_3_5!P261</f>
        <v>0</v>
      </c>
      <c r="Q276" s="67">
        <f>PSK_AT_verzia_4_0!Q276-PSK_AT_verzia_3_5!Q261</f>
        <v>0</v>
      </c>
    </row>
    <row r="277" spans="1:22" ht="28" customHeight="1" x14ac:dyDescent="0.35">
      <c r="A277" s="263" t="s">
        <v>252</v>
      </c>
      <c r="B277" s="215" t="s">
        <v>253</v>
      </c>
      <c r="C277" s="57">
        <f>PSK_AT_verzia_4_0!C277-PSK_AT_verzia_3_5!C262</f>
        <v>0</v>
      </c>
      <c r="D277" s="57">
        <f>PSK_AT_verzia_4_0!D277-PSK_AT_verzia_3_5!D262</f>
        <v>0</v>
      </c>
      <c r="E277" s="57">
        <f>PSK_AT_verzia_4_0!E277-PSK_AT_verzia_3_5!E262</f>
        <v>0</v>
      </c>
      <c r="F277" s="59" t="s">
        <v>254</v>
      </c>
      <c r="G277" s="58">
        <f>PSK_AT_verzia_4_0!G277-PSK_AT_verzia_3_5!G262</f>
        <v>-10100000</v>
      </c>
      <c r="H277" s="58">
        <f>PSK_AT_verzia_4_0!H277-PSK_AT_verzia_3_5!H262</f>
        <v>0</v>
      </c>
      <c r="I277" s="58">
        <f>PSK_AT_verzia_4_0!I277-PSK_AT_verzia_3_5!I262</f>
        <v>0</v>
      </c>
      <c r="J277" s="58">
        <f>PSK_AT_verzia_4_0!J277-PSK_AT_verzia_3_5!J262</f>
        <v>0</v>
      </c>
      <c r="K277" s="58">
        <f>PSK_AT_verzia_4_0!K277-PSK_AT_verzia_3_5!K262</f>
        <v>0</v>
      </c>
      <c r="L277" s="58">
        <f>PSK_AT_verzia_4_0!L277-PSK_AT_verzia_3_5!L262</f>
        <v>0</v>
      </c>
      <c r="M277" s="58">
        <f>PSK_AT_verzia_4_0!M277-PSK_AT_verzia_3_5!M262</f>
        <v>-10100000</v>
      </c>
      <c r="N277" s="58">
        <f>PSK_AT_verzia_4_0!N277-PSK_AT_verzia_3_5!N262</f>
        <v>0</v>
      </c>
      <c r="O277" s="58">
        <f>PSK_AT_verzia_4_0!O277-PSK_AT_verzia_3_5!O262</f>
        <v>0</v>
      </c>
      <c r="P277" s="58">
        <f>PSK_AT_verzia_4_0!P277-PSK_AT_verzia_3_5!P262</f>
        <v>0</v>
      </c>
      <c r="Q277" s="58">
        <f>PSK_AT_verzia_4_0!Q277-PSK_AT_verzia_3_5!Q262</f>
        <v>0</v>
      </c>
    </row>
    <row r="278" spans="1:22" ht="28" customHeight="1" x14ac:dyDescent="0.35">
      <c r="A278" s="252"/>
      <c r="B278" s="215"/>
      <c r="C278" s="60">
        <f>PSK_AT_verzia_4_0!C278-PSK_AT_verzia_3_5!C263</f>
        <v>0</v>
      </c>
      <c r="D278" s="60">
        <f>PSK_AT_verzia_4_0!D278-PSK_AT_verzia_3_5!D263</f>
        <v>0</v>
      </c>
      <c r="E278" s="60">
        <f>PSK_AT_verzia_4_0!E278-PSK_AT_verzia_3_5!E263</f>
        <v>0</v>
      </c>
      <c r="F278" s="61" t="s">
        <v>150</v>
      </c>
      <c r="G278" s="60">
        <f>PSK_AT_verzia_4_0!G278-PSK_AT_verzia_3_5!G263</f>
        <v>-10100000</v>
      </c>
      <c r="H278" s="60">
        <f>PSK_AT_verzia_4_0!H278-PSK_AT_verzia_3_5!H263</f>
        <v>0</v>
      </c>
      <c r="I278" s="60">
        <f>PSK_AT_verzia_4_0!I278-PSK_AT_verzia_3_5!I263</f>
        <v>0</v>
      </c>
      <c r="J278" s="60">
        <f>PSK_AT_verzia_4_0!J278-PSK_AT_verzia_3_5!J263</f>
        <v>0</v>
      </c>
      <c r="K278" s="60">
        <f>PSK_AT_verzia_4_0!K278-PSK_AT_verzia_3_5!K263</f>
        <v>0</v>
      </c>
      <c r="L278" s="60">
        <f>PSK_AT_verzia_4_0!L278-PSK_AT_verzia_3_5!L263</f>
        <v>0</v>
      </c>
      <c r="M278" s="60">
        <f>PSK_AT_verzia_4_0!M278-PSK_AT_verzia_3_5!M263</f>
        <v>-10100000</v>
      </c>
      <c r="N278" s="60">
        <f>PSK_AT_verzia_4_0!N278-PSK_AT_verzia_3_5!N263</f>
        <v>0</v>
      </c>
      <c r="O278" s="60">
        <f>PSK_AT_verzia_4_0!O278-PSK_AT_verzia_3_5!O263</f>
        <v>0</v>
      </c>
      <c r="P278" s="60">
        <f>PSK_AT_verzia_4_0!P278-PSK_AT_verzia_3_5!P263</f>
        <v>0</v>
      </c>
      <c r="Q278" s="60">
        <f>PSK_AT_verzia_4_0!Q278-PSK_AT_verzia_3_5!Q263</f>
        <v>0</v>
      </c>
    </row>
    <row r="279" spans="1:22" ht="28" customHeight="1" x14ac:dyDescent="0.35">
      <c r="A279" s="252"/>
      <c r="B279" s="215"/>
      <c r="C279" s="200">
        <f>PSK_AT_verzia_4_0!C279-PSK_AT_verzia_3_5!C264</f>
        <v>0</v>
      </c>
      <c r="D279" s="200">
        <f>PSK_AT_verzia_4_0!D279-PSK_AT_verzia_3_5!D264</f>
        <v>0</v>
      </c>
      <c r="E279" s="200">
        <f>PSK_AT_verzia_4_0!E279-PSK_AT_verzia_3_5!E264</f>
        <v>0</v>
      </c>
      <c r="F279" s="66" t="s">
        <v>151</v>
      </c>
      <c r="G279" s="67">
        <f>PSK_AT_verzia_4_0!G279-PSK_AT_verzia_3_5!G264</f>
        <v>-10100000</v>
      </c>
      <c r="H279" s="67">
        <f>PSK_AT_verzia_4_0!H279-PSK_AT_verzia_3_5!H264</f>
        <v>0</v>
      </c>
      <c r="I279" s="67">
        <f>PSK_AT_verzia_4_0!I279-PSK_AT_verzia_3_5!I264</f>
        <v>0</v>
      </c>
      <c r="J279" s="67">
        <f>PSK_AT_verzia_4_0!J279-PSK_AT_verzia_3_5!J264</f>
        <v>0</v>
      </c>
      <c r="K279" s="67">
        <f>PSK_AT_verzia_4_0!K279-PSK_AT_verzia_3_5!K264</f>
        <v>0</v>
      </c>
      <c r="L279" s="67">
        <f>PSK_AT_verzia_4_0!L279-PSK_AT_verzia_3_5!L264</f>
        <v>0</v>
      </c>
      <c r="M279" s="67">
        <f>PSK_AT_verzia_4_0!M279-PSK_AT_verzia_3_5!M264</f>
        <v>-10100000</v>
      </c>
      <c r="N279" s="67">
        <f>PSK_AT_verzia_4_0!N279-PSK_AT_verzia_3_5!N264</f>
        <v>0</v>
      </c>
      <c r="O279" s="67">
        <f>PSK_AT_verzia_4_0!O279-PSK_AT_verzia_3_5!O264</f>
        <v>0</v>
      </c>
      <c r="P279" s="67">
        <f>PSK_AT_verzia_4_0!P279-PSK_AT_verzia_3_5!P264</f>
        <v>0</v>
      </c>
      <c r="Q279" s="67">
        <f>PSK_AT_verzia_4_0!Q279-PSK_AT_verzia_3_5!Q264</f>
        <v>0</v>
      </c>
    </row>
    <row r="280" spans="1:22" ht="28" customHeight="1" x14ac:dyDescent="0.35">
      <c r="A280" s="264" t="s">
        <v>255</v>
      </c>
      <c r="B280" s="251" t="s">
        <v>256</v>
      </c>
      <c r="C280" s="57">
        <f>PSK_AT_verzia_4_0!C280-PSK_AT_verzia_3_5!C265</f>
        <v>0</v>
      </c>
      <c r="D280" s="57">
        <f>PSK_AT_verzia_4_0!D280-PSK_AT_verzia_3_5!D265</f>
        <v>0</v>
      </c>
      <c r="E280" s="57">
        <f>PSK_AT_verzia_4_0!E280-PSK_AT_verzia_3_5!E265</f>
        <v>0</v>
      </c>
      <c r="F280" s="59" t="s">
        <v>257</v>
      </c>
      <c r="G280" s="58">
        <f>PSK_AT_verzia_4_0!G280-PSK_AT_verzia_3_5!G265</f>
        <v>-49900000</v>
      </c>
      <c r="H280" s="58">
        <f>PSK_AT_verzia_4_0!H280-PSK_AT_verzia_3_5!H265</f>
        <v>0</v>
      </c>
      <c r="I280" s="58">
        <f>PSK_AT_verzia_4_0!I280-PSK_AT_verzia_3_5!I265</f>
        <v>0</v>
      </c>
      <c r="J280" s="58">
        <f>PSK_AT_verzia_4_0!J280-PSK_AT_verzia_3_5!J265</f>
        <v>0</v>
      </c>
      <c r="K280" s="58">
        <f>PSK_AT_verzia_4_0!K280-PSK_AT_verzia_3_5!K265</f>
        <v>0</v>
      </c>
      <c r="L280" s="58">
        <f>PSK_AT_verzia_4_0!L280-PSK_AT_verzia_3_5!L265</f>
        <v>0</v>
      </c>
      <c r="M280" s="58">
        <f>PSK_AT_verzia_4_0!M280-PSK_AT_verzia_3_5!M265</f>
        <v>-49900000</v>
      </c>
      <c r="N280" s="58">
        <f>PSK_AT_verzia_4_0!N280-PSK_AT_verzia_3_5!N265</f>
        <v>0</v>
      </c>
      <c r="O280" s="58">
        <f>PSK_AT_verzia_4_0!O280-PSK_AT_verzia_3_5!O265</f>
        <v>0</v>
      </c>
      <c r="P280" s="58">
        <f>PSK_AT_verzia_4_0!P280-PSK_AT_verzia_3_5!P265</f>
        <v>0</v>
      </c>
      <c r="Q280" s="58">
        <f>PSK_AT_verzia_4_0!Q280-PSK_AT_verzia_3_5!Q265</f>
        <v>0</v>
      </c>
    </row>
    <row r="281" spans="1:22" ht="28" customHeight="1" x14ac:dyDescent="0.35">
      <c r="A281" s="250"/>
      <c r="B281" s="251"/>
      <c r="C281" s="60">
        <f>PSK_AT_verzia_4_0!C281-PSK_AT_verzia_3_5!C266</f>
        <v>0</v>
      </c>
      <c r="D281" s="60">
        <f>PSK_AT_verzia_4_0!D281-PSK_AT_verzia_3_5!D266</f>
        <v>0</v>
      </c>
      <c r="E281" s="60">
        <f>PSK_AT_verzia_4_0!E281-PSK_AT_verzia_3_5!E266</f>
        <v>0</v>
      </c>
      <c r="F281" s="61" t="s">
        <v>150</v>
      </c>
      <c r="G281" s="60">
        <f>PSK_AT_verzia_4_0!G281-PSK_AT_verzia_3_5!G266</f>
        <v>-49900000</v>
      </c>
      <c r="H281" s="60">
        <f>PSK_AT_verzia_4_0!H281-PSK_AT_verzia_3_5!H266</f>
        <v>0</v>
      </c>
      <c r="I281" s="60">
        <f>PSK_AT_verzia_4_0!I281-PSK_AT_verzia_3_5!I266</f>
        <v>0</v>
      </c>
      <c r="J281" s="60">
        <f>PSK_AT_verzia_4_0!J281-PSK_AT_verzia_3_5!J266</f>
        <v>0</v>
      </c>
      <c r="K281" s="60">
        <f>PSK_AT_verzia_4_0!K281-PSK_AT_verzia_3_5!K266</f>
        <v>0</v>
      </c>
      <c r="L281" s="60">
        <f>PSK_AT_verzia_4_0!L281-PSK_AT_verzia_3_5!L266</f>
        <v>0</v>
      </c>
      <c r="M281" s="60">
        <f>PSK_AT_verzia_4_0!M281-PSK_AT_verzia_3_5!M266</f>
        <v>-49900000</v>
      </c>
      <c r="N281" s="60">
        <f>PSK_AT_verzia_4_0!N281-PSK_AT_verzia_3_5!N266</f>
        <v>0</v>
      </c>
      <c r="O281" s="60">
        <f>PSK_AT_verzia_4_0!O281-PSK_AT_verzia_3_5!O266</f>
        <v>0</v>
      </c>
      <c r="P281" s="60">
        <f>PSK_AT_verzia_4_0!P281-PSK_AT_verzia_3_5!P266</f>
        <v>0</v>
      </c>
      <c r="Q281" s="60">
        <f>PSK_AT_verzia_4_0!Q281-PSK_AT_verzia_3_5!Q266</f>
        <v>0</v>
      </c>
    </row>
    <row r="282" spans="1:22" ht="28" customHeight="1" x14ac:dyDescent="0.35">
      <c r="A282" s="250"/>
      <c r="B282" s="251"/>
      <c r="C282" s="200">
        <f>PSK_AT_verzia_4_0!C282-PSK_AT_verzia_3_5!C267</f>
        <v>0</v>
      </c>
      <c r="D282" s="200">
        <f>PSK_AT_verzia_4_0!D282-PSK_AT_verzia_3_5!D267</f>
        <v>0</v>
      </c>
      <c r="E282" s="200">
        <f>PSK_AT_verzia_4_0!E282-PSK_AT_verzia_3_5!E267</f>
        <v>0</v>
      </c>
      <c r="F282" s="66" t="s">
        <v>151</v>
      </c>
      <c r="G282" s="67">
        <f>PSK_AT_verzia_4_0!G282-PSK_AT_verzia_3_5!G267</f>
        <v>-49900000</v>
      </c>
      <c r="H282" s="67">
        <f>PSK_AT_verzia_4_0!H282-PSK_AT_verzia_3_5!H267</f>
        <v>0</v>
      </c>
      <c r="I282" s="67">
        <f>PSK_AT_verzia_4_0!I282-PSK_AT_verzia_3_5!I267</f>
        <v>0</v>
      </c>
      <c r="J282" s="67">
        <f>PSK_AT_verzia_4_0!J282-PSK_AT_verzia_3_5!J267</f>
        <v>0</v>
      </c>
      <c r="K282" s="67">
        <f>PSK_AT_verzia_4_0!K282-PSK_AT_verzia_3_5!K267</f>
        <v>0</v>
      </c>
      <c r="L282" s="67">
        <f>PSK_AT_verzia_4_0!L282-PSK_AT_verzia_3_5!L267</f>
        <v>0</v>
      </c>
      <c r="M282" s="67">
        <f>PSK_AT_verzia_4_0!M282-PSK_AT_verzia_3_5!M267</f>
        <v>-49900000</v>
      </c>
      <c r="N282" s="67">
        <f>PSK_AT_verzia_4_0!N282-PSK_AT_verzia_3_5!N267</f>
        <v>0</v>
      </c>
      <c r="O282" s="67">
        <f>PSK_AT_verzia_4_0!O282-PSK_AT_verzia_3_5!O267</f>
        <v>0</v>
      </c>
      <c r="P282" s="67">
        <f>PSK_AT_verzia_4_0!P282-PSK_AT_verzia_3_5!P267</f>
        <v>0</v>
      </c>
      <c r="Q282" s="67">
        <f>PSK_AT_verzia_4_0!Q282-PSK_AT_verzia_3_5!Q267</f>
        <v>0</v>
      </c>
    </row>
    <row r="283" spans="1:22" ht="28" customHeight="1" x14ac:dyDescent="0.35">
      <c r="A283" s="263" t="s">
        <v>258</v>
      </c>
      <c r="B283" s="251" t="s">
        <v>259</v>
      </c>
      <c r="C283" s="57">
        <f>PSK_AT_verzia_4_0!C283-PSK_AT_verzia_3_5!C268</f>
        <v>0</v>
      </c>
      <c r="D283" s="57">
        <f>PSK_AT_verzia_4_0!D283-PSK_AT_verzia_3_5!D268</f>
        <v>0</v>
      </c>
      <c r="E283" s="57">
        <f>PSK_AT_verzia_4_0!E283-PSK_AT_verzia_3_5!E268</f>
        <v>0</v>
      </c>
      <c r="F283" s="59" t="s">
        <v>260</v>
      </c>
      <c r="G283" s="58">
        <f>PSK_AT_verzia_4_0!G283-PSK_AT_verzia_3_5!G268</f>
        <v>0</v>
      </c>
      <c r="H283" s="58">
        <f>PSK_AT_verzia_4_0!H283-PSK_AT_verzia_3_5!H268</f>
        <v>0</v>
      </c>
      <c r="I283" s="58">
        <f>PSK_AT_verzia_4_0!I283-PSK_AT_verzia_3_5!I268</f>
        <v>0</v>
      </c>
      <c r="J283" s="58">
        <f>PSK_AT_verzia_4_0!J283-PSK_AT_verzia_3_5!J268</f>
        <v>0</v>
      </c>
      <c r="K283" s="58">
        <f>PSK_AT_verzia_4_0!K283-PSK_AT_verzia_3_5!K268</f>
        <v>0</v>
      </c>
      <c r="L283" s="58">
        <f>PSK_AT_verzia_4_0!L283-PSK_AT_verzia_3_5!L268</f>
        <v>0</v>
      </c>
      <c r="M283" s="58">
        <f>PSK_AT_verzia_4_0!M283-PSK_AT_verzia_3_5!M268</f>
        <v>0</v>
      </c>
      <c r="N283" s="58">
        <f>PSK_AT_verzia_4_0!N283-PSK_AT_verzia_3_5!N268</f>
        <v>0</v>
      </c>
      <c r="O283" s="58">
        <f>PSK_AT_verzia_4_0!O283-PSK_AT_verzia_3_5!O268</f>
        <v>0</v>
      </c>
      <c r="P283" s="58">
        <f>PSK_AT_verzia_4_0!P283-PSK_AT_verzia_3_5!P268</f>
        <v>0</v>
      </c>
      <c r="Q283" s="58">
        <f>PSK_AT_verzia_4_0!Q283-PSK_AT_verzia_3_5!Q268</f>
        <v>0</v>
      </c>
    </row>
    <row r="284" spans="1:22" ht="28" customHeight="1" x14ac:dyDescent="0.35">
      <c r="A284" s="252"/>
      <c r="B284" s="251"/>
      <c r="C284" s="60">
        <f>PSK_AT_verzia_4_0!C284-PSK_AT_verzia_3_5!C269</f>
        <v>0</v>
      </c>
      <c r="D284" s="60">
        <f>PSK_AT_verzia_4_0!D284-PSK_AT_verzia_3_5!D269</f>
        <v>0</v>
      </c>
      <c r="E284" s="60">
        <f>PSK_AT_verzia_4_0!E284-PSK_AT_verzia_3_5!E269</f>
        <v>0</v>
      </c>
      <c r="F284" s="61" t="s">
        <v>150</v>
      </c>
      <c r="G284" s="60">
        <f>PSK_AT_verzia_4_0!G284-PSK_AT_verzia_3_5!G269</f>
        <v>0</v>
      </c>
      <c r="H284" s="60">
        <f>PSK_AT_verzia_4_0!H284-PSK_AT_verzia_3_5!H269</f>
        <v>0</v>
      </c>
      <c r="I284" s="60">
        <f>PSK_AT_verzia_4_0!I284-PSK_AT_verzia_3_5!I269</f>
        <v>0</v>
      </c>
      <c r="J284" s="60">
        <f>PSK_AT_verzia_4_0!J284-PSK_AT_verzia_3_5!J269</f>
        <v>0</v>
      </c>
      <c r="K284" s="60">
        <f>PSK_AT_verzia_4_0!K284-PSK_AT_verzia_3_5!K269</f>
        <v>0</v>
      </c>
      <c r="L284" s="60">
        <f>PSK_AT_verzia_4_0!L284-PSK_AT_verzia_3_5!L269</f>
        <v>0</v>
      </c>
      <c r="M284" s="60">
        <f>PSK_AT_verzia_4_0!M284-PSK_AT_verzia_3_5!M269</f>
        <v>0</v>
      </c>
      <c r="N284" s="60">
        <f>PSK_AT_verzia_4_0!N284-PSK_AT_verzia_3_5!N269</f>
        <v>0</v>
      </c>
      <c r="O284" s="60">
        <f>PSK_AT_verzia_4_0!O284-PSK_AT_verzia_3_5!O269</f>
        <v>0</v>
      </c>
      <c r="P284" s="60">
        <f>PSK_AT_verzia_4_0!P284-PSK_AT_verzia_3_5!P269</f>
        <v>0</v>
      </c>
      <c r="Q284" s="60">
        <f>PSK_AT_verzia_4_0!Q284-PSK_AT_verzia_3_5!Q269</f>
        <v>0</v>
      </c>
    </row>
    <row r="285" spans="1:22" ht="28" customHeight="1" x14ac:dyDescent="0.35">
      <c r="A285" s="252"/>
      <c r="B285" s="251"/>
      <c r="C285" s="200">
        <f>PSK_AT_verzia_4_0!C285-PSK_AT_verzia_3_5!C270</f>
        <v>0</v>
      </c>
      <c r="D285" s="200">
        <f>PSK_AT_verzia_4_0!D285-PSK_AT_verzia_3_5!D270</f>
        <v>0</v>
      </c>
      <c r="E285" s="200">
        <f>PSK_AT_verzia_4_0!E285-PSK_AT_verzia_3_5!E270</f>
        <v>0</v>
      </c>
      <c r="F285" s="66" t="s">
        <v>151</v>
      </c>
      <c r="G285" s="67">
        <f>PSK_AT_verzia_4_0!G285-PSK_AT_verzia_3_5!G270</f>
        <v>0</v>
      </c>
      <c r="H285" s="67">
        <f>PSK_AT_verzia_4_0!H285-PSK_AT_verzia_3_5!H270</f>
        <v>0</v>
      </c>
      <c r="I285" s="67">
        <f>PSK_AT_verzia_4_0!I285-PSK_AT_verzia_3_5!I270</f>
        <v>0</v>
      </c>
      <c r="J285" s="67">
        <f>PSK_AT_verzia_4_0!J285-PSK_AT_verzia_3_5!J270</f>
        <v>0</v>
      </c>
      <c r="K285" s="67">
        <f>PSK_AT_verzia_4_0!K285-PSK_AT_verzia_3_5!K270</f>
        <v>0</v>
      </c>
      <c r="L285" s="67">
        <f>PSK_AT_verzia_4_0!L285-PSK_AT_verzia_3_5!L270</f>
        <v>0</v>
      </c>
      <c r="M285" s="67">
        <f>PSK_AT_verzia_4_0!M285-PSK_AT_verzia_3_5!M270</f>
        <v>0</v>
      </c>
      <c r="N285" s="67">
        <f>PSK_AT_verzia_4_0!N285-PSK_AT_verzia_3_5!N270</f>
        <v>0</v>
      </c>
      <c r="O285" s="67">
        <f>PSK_AT_verzia_4_0!O285-PSK_AT_verzia_3_5!O270</f>
        <v>0</v>
      </c>
      <c r="P285" s="67">
        <f>PSK_AT_verzia_4_0!P285-PSK_AT_verzia_3_5!P270</f>
        <v>0</v>
      </c>
      <c r="Q285" s="67">
        <f>PSK_AT_verzia_4_0!Q285-PSK_AT_verzia_3_5!Q270</f>
        <v>0</v>
      </c>
    </row>
    <row r="286" spans="1:22" ht="68.150000000000006" customHeight="1" x14ac:dyDescent="0.35">
      <c r="A286" s="263" t="s">
        <v>261</v>
      </c>
      <c r="B286" s="251" t="s">
        <v>262</v>
      </c>
      <c r="C286" s="57">
        <f>PSK_AT_verzia_4_0!C286-PSK_AT_verzia_3_5!C271</f>
        <v>0</v>
      </c>
      <c r="D286" s="57">
        <f>PSK_AT_verzia_4_0!D286-PSK_AT_verzia_3_5!D271</f>
        <v>0</v>
      </c>
      <c r="E286" s="57">
        <f>PSK_AT_verzia_4_0!E286-PSK_AT_verzia_3_5!E271</f>
        <v>0</v>
      </c>
      <c r="F286" s="59" t="s">
        <v>263</v>
      </c>
      <c r="G286" s="58">
        <f>PSK_AT_verzia_4_0!G286-PSK_AT_verzia_3_5!G271</f>
        <v>0</v>
      </c>
      <c r="H286" s="58">
        <f>PSK_AT_verzia_4_0!H286-PSK_AT_verzia_3_5!H271</f>
        <v>0</v>
      </c>
      <c r="I286" s="58">
        <f>PSK_AT_verzia_4_0!I286-PSK_AT_verzia_3_5!I271</f>
        <v>0</v>
      </c>
      <c r="J286" s="58">
        <f>PSK_AT_verzia_4_0!J286-PSK_AT_verzia_3_5!J271</f>
        <v>0</v>
      </c>
      <c r="K286" s="58">
        <f>PSK_AT_verzia_4_0!K286-PSK_AT_verzia_3_5!K271</f>
        <v>0</v>
      </c>
      <c r="L286" s="58">
        <f>PSK_AT_verzia_4_0!L286-PSK_AT_verzia_3_5!L271</f>
        <v>0</v>
      </c>
      <c r="M286" s="58">
        <f>PSK_AT_verzia_4_0!M286-PSK_AT_verzia_3_5!M271</f>
        <v>0</v>
      </c>
      <c r="N286" s="58">
        <f>PSK_AT_verzia_4_0!N286-PSK_AT_verzia_3_5!N271</f>
        <v>0</v>
      </c>
      <c r="O286" s="58">
        <f>PSK_AT_verzia_4_0!O286-PSK_AT_verzia_3_5!O271</f>
        <v>0</v>
      </c>
      <c r="P286" s="58">
        <f>PSK_AT_verzia_4_0!P286-PSK_AT_verzia_3_5!P271</f>
        <v>0</v>
      </c>
      <c r="Q286" s="58">
        <f>PSK_AT_verzia_4_0!Q286-PSK_AT_verzia_3_5!Q271</f>
        <v>0</v>
      </c>
    </row>
    <row r="287" spans="1:22" s="108" customFormat="1" ht="30" customHeight="1" x14ac:dyDescent="0.35">
      <c r="A287" s="252"/>
      <c r="B287" s="251"/>
      <c r="C287" s="60">
        <f>PSK_AT_verzia_4_0!C287-PSK_AT_verzia_3_5!C272</f>
        <v>0</v>
      </c>
      <c r="D287" s="60">
        <f>PSK_AT_verzia_4_0!D287-PSK_AT_verzia_3_5!D272</f>
        <v>0</v>
      </c>
      <c r="E287" s="60">
        <f>PSK_AT_verzia_4_0!E287-PSK_AT_verzia_3_5!E272</f>
        <v>0</v>
      </c>
      <c r="F287" s="61" t="s">
        <v>150</v>
      </c>
      <c r="G287" s="60">
        <f>PSK_AT_verzia_4_0!G287-PSK_AT_verzia_3_5!G272</f>
        <v>0</v>
      </c>
      <c r="H287" s="60">
        <f>PSK_AT_verzia_4_0!H287-PSK_AT_verzia_3_5!H272</f>
        <v>0</v>
      </c>
      <c r="I287" s="60">
        <f>PSK_AT_verzia_4_0!I287-PSK_AT_verzia_3_5!I272</f>
        <v>0</v>
      </c>
      <c r="J287" s="60">
        <f>PSK_AT_verzia_4_0!J287-PSK_AT_verzia_3_5!J272</f>
        <v>0</v>
      </c>
      <c r="K287" s="60">
        <f>PSK_AT_verzia_4_0!K287-PSK_AT_verzia_3_5!K272</f>
        <v>0</v>
      </c>
      <c r="L287" s="60">
        <f>PSK_AT_verzia_4_0!L287-PSK_AT_verzia_3_5!L272</f>
        <v>0</v>
      </c>
      <c r="M287" s="60">
        <f>PSK_AT_verzia_4_0!M287-PSK_AT_verzia_3_5!M272</f>
        <v>0</v>
      </c>
      <c r="N287" s="60">
        <f>PSK_AT_verzia_4_0!N287-PSK_AT_verzia_3_5!N272</f>
        <v>0</v>
      </c>
      <c r="O287" s="60">
        <f>PSK_AT_verzia_4_0!O287-PSK_AT_verzia_3_5!O272</f>
        <v>0</v>
      </c>
      <c r="P287" s="60">
        <f>PSK_AT_verzia_4_0!P287-PSK_AT_verzia_3_5!P272</f>
        <v>0</v>
      </c>
      <c r="Q287" s="60">
        <f>PSK_AT_verzia_4_0!Q287-PSK_AT_verzia_3_5!Q272</f>
        <v>0</v>
      </c>
    </row>
    <row r="288" spans="1:22" s="108" customFormat="1" ht="30" customHeight="1" x14ac:dyDescent="0.35">
      <c r="A288" s="252"/>
      <c r="B288" s="251"/>
      <c r="C288" s="200">
        <f>PSK_AT_verzia_4_0!C288-PSK_AT_verzia_3_5!C273</f>
        <v>0</v>
      </c>
      <c r="D288" s="200">
        <f>PSK_AT_verzia_4_0!D288-PSK_AT_verzia_3_5!D273</f>
        <v>0</v>
      </c>
      <c r="E288" s="200">
        <f>PSK_AT_verzia_4_0!E288-PSK_AT_verzia_3_5!E273</f>
        <v>0</v>
      </c>
      <c r="F288" s="66" t="s">
        <v>151</v>
      </c>
      <c r="G288" s="67">
        <f>PSK_AT_verzia_4_0!G288-PSK_AT_verzia_3_5!G273</f>
        <v>0</v>
      </c>
      <c r="H288" s="67">
        <f>PSK_AT_verzia_4_0!H288-PSK_AT_verzia_3_5!H273</f>
        <v>0</v>
      </c>
      <c r="I288" s="67">
        <f>PSK_AT_verzia_4_0!I288-PSK_AT_verzia_3_5!I273</f>
        <v>0</v>
      </c>
      <c r="J288" s="67">
        <f>PSK_AT_verzia_4_0!J288-PSK_AT_verzia_3_5!J273</f>
        <v>0</v>
      </c>
      <c r="K288" s="67">
        <f>PSK_AT_verzia_4_0!K288-PSK_AT_verzia_3_5!K273</f>
        <v>0</v>
      </c>
      <c r="L288" s="67">
        <f>PSK_AT_verzia_4_0!L288-PSK_AT_verzia_3_5!L273</f>
        <v>0</v>
      </c>
      <c r="M288" s="67">
        <f>PSK_AT_verzia_4_0!M288-PSK_AT_verzia_3_5!M273</f>
        <v>0</v>
      </c>
      <c r="N288" s="67">
        <f>PSK_AT_verzia_4_0!N288-PSK_AT_verzia_3_5!N273</f>
        <v>0</v>
      </c>
      <c r="O288" s="67">
        <f>PSK_AT_verzia_4_0!O288-PSK_AT_verzia_3_5!O273</f>
        <v>0</v>
      </c>
      <c r="P288" s="67">
        <f>PSK_AT_verzia_4_0!P288-PSK_AT_verzia_3_5!P273</f>
        <v>0</v>
      </c>
      <c r="Q288" s="67">
        <f>PSK_AT_verzia_4_0!Q288-PSK_AT_verzia_3_5!Q273</f>
        <v>0</v>
      </c>
    </row>
    <row r="289" spans="1:17" s="108" customFormat="1" ht="28" customHeight="1" x14ac:dyDescent="0.35">
      <c r="A289" s="263" t="s">
        <v>264</v>
      </c>
      <c r="B289" s="251" t="s">
        <v>265</v>
      </c>
      <c r="C289" s="57">
        <f>PSK_AT_verzia_4_0!C289-PSK_AT_verzia_3_5!C274</f>
        <v>0</v>
      </c>
      <c r="D289" s="57">
        <f>PSK_AT_verzia_4_0!D289-PSK_AT_verzia_3_5!D274</f>
        <v>0</v>
      </c>
      <c r="E289" s="57">
        <f>PSK_AT_verzia_4_0!E289-PSK_AT_verzia_3_5!E274</f>
        <v>0</v>
      </c>
      <c r="F289" s="59" t="s">
        <v>266</v>
      </c>
      <c r="G289" s="58">
        <f>PSK_AT_verzia_4_0!G289-PSK_AT_verzia_3_5!G274</f>
        <v>-19804608</v>
      </c>
      <c r="H289" s="58">
        <f>PSK_AT_verzia_4_0!H289-PSK_AT_verzia_3_5!H274</f>
        <v>-19804608</v>
      </c>
      <c r="I289" s="58">
        <f>PSK_AT_verzia_4_0!I289-PSK_AT_verzia_3_5!I274</f>
        <v>0</v>
      </c>
      <c r="J289" s="58">
        <f>PSK_AT_verzia_4_0!J289-PSK_AT_verzia_3_5!J274</f>
        <v>-19804608</v>
      </c>
      <c r="K289" s="58">
        <f>PSK_AT_verzia_4_0!K289-PSK_AT_verzia_3_5!K274</f>
        <v>-19804608</v>
      </c>
      <c r="L289" s="58">
        <f>PSK_AT_verzia_4_0!L289-PSK_AT_verzia_3_5!L274</f>
        <v>0</v>
      </c>
      <c r="M289" s="58">
        <f>PSK_AT_verzia_4_0!M289-PSK_AT_verzia_3_5!M274</f>
        <v>0</v>
      </c>
      <c r="N289" s="58">
        <f>PSK_AT_verzia_4_0!N289-PSK_AT_verzia_3_5!N274</f>
        <v>0</v>
      </c>
      <c r="O289" s="58">
        <f>PSK_AT_verzia_4_0!O289-PSK_AT_verzia_3_5!O274</f>
        <v>0</v>
      </c>
      <c r="P289" s="58">
        <f>PSK_AT_verzia_4_0!P289-PSK_AT_verzia_3_5!P274</f>
        <v>0</v>
      </c>
      <c r="Q289" s="58">
        <f>PSK_AT_verzia_4_0!Q289-PSK_AT_verzia_3_5!Q274</f>
        <v>0</v>
      </c>
    </row>
    <row r="290" spans="1:17" ht="28.5" x14ac:dyDescent="0.35">
      <c r="A290" s="252"/>
      <c r="B290" s="251"/>
      <c r="C290" s="60">
        <f>PSK_AT_verzia_4_0!C290-PSK_AT_verzia_3_5!C275</f>
        <v>0</v>
      </c>
      <c r="D290" s="60">
        <f>PSK_AT_verzia_4_0!D290-PSK_AT_verzia_3_5!D275</f>
        <v>0</v>
      </c>
      <c r="E290" s="60">
        <f>PSK_AT_verzia_4_0!E290-PSK_AT_verzia_3_5!E275</f>
        <v>0</v>
      </c>
      <c r="F290" s="61" t="s">
        <v>36</v>
      </c>
      <c r="G290" s="60">
        <f>PSK_AT_verzia_4_0!G290-PSK_AT_verzia_3_5!G275</f>
        <v>-19804608</v>
      </c>
      <c r="H290" s="60">
        <f>PSK_AT_verzia_4_0!H290-PSK_AT_verzia_3_5!H275</f>
        <v>-19804608</v>
      </c>
      <c r="I290" s="60">
        <f>PSK_AT_verzia_4_0!I290-PSK_AT_verzia_3_5!I275</f>
        <v>0</v>
      </c>
      <c r="J290" s="60">
        <f>PSK_AT_verzia_4_0!J290-PSK_AT_verzia_3_5!J275</f>
        <v>-19804608</v>
      </c>
      <c r="K290" s="60">
        <f>PSK_AT_verzia_4_0!K290-PSK_AT_verzia_3_5!K275</f>
        <v>-19804608</v>
      </c>
      <c r="L290" s="60">
        <f>PSK_AT_verzia_4_0!L290-PSK_AT_verzia_3_5!L275</f>
        <v>0</v>
      </c>
      <c r="M290" s="60">
        <f>PSK_AT_verzia_4_0!M290-PSK_AT_verzia_3_5!M275</f>
        <v>0</v>
      </c>
      <c r="N290" s="60">
        <f>PSK_AT_verzia_4_0!N290-PSK_AT_verzia_3_5!N275</f>
        <v>0</v>
      </c>
      <c r="O290" s="60">
        <f>PSK_AT_verzia_4_0!O290-PSK_AT_verzia_3_5!O275</f>
        <v>0</v>
      </c>
      <c r="P290" s="60">
        <f>PSK_AT_verzia_4_0!P290-PSK_AT_verzia_3_5!P275</f>
        <v>0</v>
      </c>
      <c r="Q290" s="60">
        <f>PSK_AT_verzia_4_0!Q290-PSK_AT_verzia_3_5!Q275</f>
        <v>0</v>
      </c>
    </row>
    <row r="291" spans="1:17" ht="28.5" x14ac:dyDescent="0.35">
      <c r="A291" s="252"/>
      <c r="B291" s="251"/>
      <c r="C291" s="200">
        <f>PSK_AT_verzia_4_0!C291-PSK_AT_verzia_3_5!C276</f>
        <v>0</v>
      </c>
      <c r="D291" s="200">
        <f>PSK_AT_verzia_4_0!D291-PSK_AT_verzia_3_5!D276</f>
        <v>0</v>
      </c>
      <c r="E291" s="200">
        <f>PSK_AT_verzia_4_0!E291-PSK_AT_verzia_3_5!E276</f>
        <v>0</v>
      </c>
      <c r="F291" s="66" t="s">
        <v>37</v>
      </c>
      <c r="G291" s="67">
        <f>PSK_AT_verzia_4_0!G291-PSK_AT_verzia_3_5!G276</f>
        <v>-19804608</v>
      </c>
      <c r="H291" s="67">
        <f>PSK_AT_verzia_4_0!H291-PSK_AT_verzia_3_5!H276</f>
        <v>-19804608</v>
      </c>
      <c r="I291" s="67">
        <f>PSK_AT_verzia_4_0!I291-PSK_AT_verzia_3_5!I276</f>
        <v>0</v>
      </c>
      <c r="J291" s="67">
        <f>PSK_AT_verzia_4_0!J291-PSK_AT_verzia_3_5!J276</f>
        <v>-19804608</v>
      </c>
      <c r="K291" s="67">
        <f>PSK_AT_verzia_4_0!K291-PSK_AT_verzia_3_5!K276</f>
        <v>-19804608</v>
      </c>
      <c r="L291" s="67">
        <f>PSK_AT_verzia_4_0!L291-PSK_AT_verzia_3_5!L276</f>
        <v>0</v>
      </c>
      <c r="M291" s="67">
        <f>PSK_AT_verzia_4_0!M291-PSK_AT_verzia_3_5!M276</f>
        <v>0</v>
      </c>
      <c r="N291" s="67">
        <f>PSK_AT_verzia_4_0!N291-PSK_AT_verzia_3_5!N276</f>
        <v>0</v>
      </c>
      <c r="O291" s="67">
        <f>PSK_AT_verzia_4_0!O291-PSK_AT_verzia_3_5!O276</f>
        <v>0</v>
      </c>
      <c r="P291" s="67">
        <f>PSK_AT_verzia_4_0!P291-PSK_AT_verzia_3_5!P276</f>
        <v>0</v>
      </c>
      <c r="Q291" s="67">
        <f>PSK_AT_verzia_4_0!Q291-PSK_AT_verzia_3_5!Q276</f>
        <v>0</v>
      </c>
    </row>
    <row r="292" spans="1:17" ht="28.5" x14ac:dyDescent="0.35">
      <c r="A292" s="45" t="s">
        <v>267</v>
      </c>
      <c r="B292" s="46" t="s">
        <v>268</v>
      </c>
      <c r="C292" s="47">
        <f>PSK_AT_verzia_4_0!C292-PSK_AT_verzia_3_5!C277</f>
        <v>-26505361</v>
      </c>
      <c r="D292" s="47">
        <f>PSK_AT_verzia_4_0!D292-PSK_AT_verzia_3_5!D277</f>
        <v>0</v>
      </c>
      <c r="E292" s="47">
        <f>PSK_AT_verzia_4_0!E292-PSK_AT_verzia_3_5!E277</f>
        <v>0</v>
      </c>
      <c r="F292" s="48"/>
      <c r="G292" s="48">
        <f>PSK_AT_verzia_4_0!G292-PSK_AT_verzia_3_5!G277</f>
        <v>-26505361</v>
      </c>
      <c r="H292" s="48">
        <f>PSK_AT_verzia_4_0!H292-PSK_AT_verzia_3_5!H277</f>
        <v>-17055361</v>
      </c>
      <c r="I292" s="48">
        <f>PSK_AT_verzia_4_0!I292-PSK_AT_verzia_3_5!I277</f>
        <v>-1800000</v>
      </c>
      <c r="J292" s="48">
        <f>PSK_AT_verzia_4_0!J292-PSK_AT_verzia_3_5!J277</f>
        <v>-18855361</v>
      </c>
      <c r="K292" s="48">
        <f>PSK_AT_verzia_4_0!K292-PSK_AT_verzia_3_5!K277</f>
        <v>-17055361</v>
      </c>
      <c r="L292" s="48">
        <f>PSK_AT_verzia_4_0!L292-PSK_AT_verzia_3_5!L277</f>
        <v>-1800000</v>
      </c>
      <c r="M292" s="48">
        <f>PSK_AT_verzia_4_0!M292-PSK_AT_verzia_3_5!M277</f>
        <v>-7650000</v>
      </c>
      <c r="N292" s="48">
        <f>PSK_AT_verzia_4_0!N292-PSK_AT_verzia_3_5!N277</f>
        <v>0</v>
      </c>
      <c r="O292" s="48">
        <f>PSK_AT_verzia_4_0!O292-PSK_AT_verzia_3_5!O277</f>
        <v>0</v>
      </c>
      <c r="P292" s="48">
        <f>PSK_AT_verzia_4_0!P292-PSK_AT_verzia_3_5!P277</f>
        <v>0</v>
      </c>
      <c r="Q292" s="48">
        <f>PSK_AT_verzia_4_0!Q292-PSK_AT_verzia_3_5!Q277</f>
        <v>0</v>
      </c>
    </row>
    <row r="293" spans="1:17" ht="52" x14ac:dyDescent="0.35">
      <c r="A293" s="87" t="s">
        <v>269</v>
      </c>
      <c r="B293" s="88" t="s">
        <v>270</v>
      </c>
      <c r="C293" s="52">
        <f>PSK_AT_verzia_4_0!C293-PSK_AT_verzia_3_5!C278</f>
        <v>-26505361</v>
      </c>
      <c r="D293" s="52">
        <f>PSK_AT_verzia_4_0!D293-PSK_AT_verzia_3_5!D278</f>
        <v>0</v>
      </c>
      <c r="E293" s="52">
        <f>PSK_AT_verzia_4_0!E293-PSK_AT_verzia_3_5!E278</f>
        <v>0</v>
      </c>
      <c r="F293" s="54" t="s">
        <v>271</v>
      </c>
      <c r="G293" s="52">
        <f>PSK_AT_verzia_4_0!G293-PSK_AT_verzia_3_5!G278</f>
        <v>-26505361</v>
      </c>
      <c r="H293" s="52">
        <f>PSK_AT_verzia_4_0!H293-PSK_AT_verzia_3_5!H278</f>
        <v>-17055361</v>
      </c>
      <c r="I293" s="52">
        <f>PSK_AT_verzia_4_0!I293-PSK_AT_verzia_3_5!I278</f>
        <v>-1800000</v>
      </c>
      <c r="J293" s="52">
        <f>PSK_AT_verzia_4_0!J293-PSK_AT_verzia_3_5!J278</f>
        <v>-18855361</v>
      </c>
      <c r="K293" s="52">
        <f>PSK_AT_verzia_4_0!K293-PSK_AT_verzia_3_5!K278</f>
        <v>-17055361</v>
      </c>
      <c r="L293" s="52">
        <f>PSK_AT_verzia_4_0!L293-PSK_AT_verzia_3_5!L278</f>
        <v>-1800000</v>
      </c>
      <c r="M293" s="52">
        <f>PSK_AT_verzia_4_0!M293-PSK_AT_verzia_3_5!M278</f>
        <v>-7650000</v>
      </c>
      <c r="N293" s="52">
        <f>PSK_AT_verzia_4_0!N293-PSK_AT_verzia_3_5!N278</f>
        <v>0</v>
      </c>
      <c r="O293" s="52">
        <f>PSK_AT_verzia_4_0!O293-PSK_AT_verzia_3_5!O278</f>
        <v>0</v>
      </c>
      <c r="P293" s="52">
        <f>PSK_AT_verzia_4_0!P293-PSK_AT_verzia_3_5!P278</f>
        <v>0</v>
      </c>
      <c r="Q293" s="52">
        <f>PSK_AT_verzia_4_0!Q293-PSK_AT_verzia_3_5!Q278</f>
        <v>0</v>
      </c>
    </row>
    <row r="294" spans="1:17" ht="28" customHeight="1" x14ac:dyDescent="0.35">
      <c r="A294" s="252" t="s">
        <v>272</v>
      </c>
      <c r="B294" s="251" t="s">
        <v>273</v>
      </c>
      <c r="C294" s="57">
        <f>PSK_AT_verzia_4_0!C294-PSK_AT_verzia_3_5!C279</f>
        <v>-21953088</v>
      </c>
      <c r="D294" s="57">
        <f>PSK_AT_verzia_4_0!D294-PSK_AT_verzia_3_5!D279</f>
        <v>0</v>
      </c>
      <c r="E294" s="57">
        <f>PSK_AT_verzia_4_0!E294-PSK_AT_verzia_3_5!E279</f>
        <v>0</v>
      </c>
      <c r="F294" s="59" t="s">
        <v>274</v>
      </c>
      <c r="G294" s="58">
        <f>PSK_AT_verzia_4_0!G294-PSK_AT_verzia_3_5!G279</f>
        <v>-21953088</v>
      </c>
      <c r="H294" s="58">
        <f>PSK_AT_verzia_4_0!H294-PSK_AT_verzia_3_5!H279</f>
        <v>-21953088</v>
      </c>
      <c r="I294" s="58">
        <f>PSK_AT_verzia_4_0!I294-PSK_AT_verzia_3_5!I279</f>
        <v>0</v>
      </c>
      <c r="J294" s="58">
        <f>PSK_AT_verzia_4_0!J294-PSK_AT_verzia_3_5!J279</f>
        <v>-21953088</v>
      </c>
      <c r="K294" s="58">
        <f>PSK_AT_verzia_4_0!K294-PSK_AT_verzia_3_5!K279</f>
        <v>-21953088</v>
      </c>
      <c r="L294" s="58">
        <f>PSK_AT_verzia_4_0!L294-PSK_AT_verzia_3_5!L279</f>
        <v>0</v>
      </c>
      <c r="M294" s="58">
        <f>PSK_AT_verzia_4_0!M294-PSK_AT_verzia_3_5!M279</f>
        <v>0</v>
      </c>
      <c r="N294" s="58">
        <f>PSK_AT_verzia_4_0!N294-PSK_AT_verzia_3_5!N279</f>
        <v>0</v>
      </c>
      <c r="O294" s="58">
        <f>PSK_AT_verzia_4_0!O294-PSK_AT_verzia_3_5!O279</f>
        <v>0</v>
      </c>
      <c r="P294" s="58">
        <f>PSK_AT_verzia_4_0!P294-PSK_AT_verzia_3_5!P279</f>
        <v>0</v>
      </c>
      <c r="Q294" s="58">
        <f>PSK_AT_verzia_4_0!Q294-PSK_AT_verzia_3_5!Q279</f>
        <v>0</v>
      </c>
    </row>
    <row r="295" spans="1:17" ht="28" customHeight="1" x14ac:dyDescent="0.35">
      <c r="A295" s="252"/>
      <c r="B295" s="251"/>
      <c r="C295" s="99">
        <f>PSK_AT_verzia_4_0!C295-PSK_AT_verzia_3_5!C280</f>
        <v>-21953088</v>
      </c>
      <c r="D295" s="60">
        <f>PSK_AT_verzia_4_0!D295-PSK_AT_verzia_3_5!D280</f>
        <v>0</v>
      </c>
      <c r="E295" s="60">
        <f>PSK_AT_verzia_4_0!E295-PSK_AT_verzia_3_5!E280</f>
        <v>0</v>
      </c>
      <c r="F295" s="61" t="s">
        <v>115</v>
      </c>
      <c r="G295" s="60">
        <f>PSK_AT_verzia_4_0!G295-PSK_AT_verzia_3_5!G280</f>
        <v>-21953088</v>
      </c>
      <c r="H295" s="60">
        <f>PSK_AT_verzia_4_0!H295-PSK_AT_verzia_3_5!H280</f>
        <v>-21953088</v>
      </c>
      <c r="I295" s="60">
        <f>PSK_AT_verzia_4_0!I295-PSK_AT_verzia_3_5!I280</f>
        <v>0</v>
      </c>
      <c r="J295" s="60">
        <f>PSK_AT_verzia_4_0!J295-PSK_AT_verzia_3_5!J280</f>
        <v>-21953088</v>
      </c>
      <c r="K295" s="60">
        <f>PSK_AT_verzia_4_0!K295-PSK_AT_verzia_3_5!K280</f>
        <v>-21953088</v>
      </c>
      <c r="L295" s="60">
        <f>PSK_AT_verzia_4_0!L295-PSK_AT_verzia_3_5!L280</f>
        <v>0</v>
      </c>
      <c r="M295" s="60">
        <f>PSK_AT_verzia_4_0!M295-PSK_AT_verzia_3_5!M280</f>
        <v>0</v>
      </c>
      <c r="N295" s="60">
        <f>PSK_AT_verzia_4_0!N295-PSK_AT_verzia_3_5!N280</f>
        <v>0</v>
      </c>
      <c r="O295" s="60">
        <f>PSK_AT_verzia_4_0!O295-PSK_AT_verzia_3_5!O280</f>
        <v>0</v>
      </c>
      <c r="P295" s="60">
        <f>PSK_AT_verzia_4_0!P295-PSK_AT_verzia_3_5!P280</f>
        <v>0</v>
      </c>
      <c r="Q295" s="60">
        <f>PSK_AT_verzia_4_0!Q295-PSK_AT_verzia_3_5!Q280</f>
        <v>0</v>
      </c>
    </row>
    <row r="296" spans="1:17" ht="28" customHeight="1" x14ac:dyDescent="0.35">
      <c r="A296" s="252"/>
      <c r="B296" s="251"/>
      <c r="C296" s="200">
        <f>PSK_AT_verzia_4_0!C296-PSK_AT_verzia_3_5!C281</f>
        <v>0</v>
      </c>
      <c r="D296" s="200">
        <f>PSK_AT_verzia_4_0!D296-PSK_AT_verzia_3_5!D281</f>
        <v>0</v>
      </c>
      <c r="E296" s="200">
        <f>PSK_AT_verzia_4_0!E296-PSK_AT_verzia_3_5!E281</f>
        <v>0</v>
      </c>
      <c r="F296" s="66" t="s">
        <v>116</v>
      </c>
      <c r="G296" s="67">
        <f>PSK_AT_verzia_4_0!G296-PSK_AT_verzia_3_5!G281</f>
        <v>0</v>
      </c>
      <c r="H296" s="67">
        <f>PSK_AT_verzia_4_0!H296-PSK_AT_verzia_3_5!H281</f>
        <v>0</v>
      </c>
      <c r="I296" s="67">
        <f>PSK_AT_verzia_4_0!I296-PSK_AT_verzia_3_5!I281</f>
        <v>0</v>
      </c>
      <c r="J296" s="67">
        <f>PSK_AT_verzia_4_0!J296-PSK_AT_verzia_3_5!J281</f>
        <v>0</v>
      </c>
      <c r="K296" s="67">
        <f>PSK_AT_verzia_4_0!K296-PSK_AT_verzia_3_5!K281</f>
        <v>0</v>
      </c>
      <c r="L296" s="67">
        <f>PSK_AT_verzia_4_0!L296-PSK_AT_verzia_3_5!L281</f>
        <v>0</v>
      </c>
      <c r="M296" s="67">
        <f>PSK_AT_verzia_4_0!M296-PSK_AT_verzia_3_5!M281</f>
        <v>0</v>
      </c>
      <c r="N296" s="67">
        <f>PSK_AT_verzia_4_0!N296-PSK_AT_verzia_3_5!N281</f>
        <v>0</v>
      </c>
      <c r="O296" s="67">
        <f>PSK_AT_verzia_4_0!O296-PSK_AT_verzia_3_5!O281</f>
        <v>0</v>
      </c>
      <c r="P296" s="67">
        <f>PSK_AT_verzia_4_0!P296-PSK_AT_verzia_3_5!P281</f>
        <v>0</v>
      </c>
      <c r="Q296" s="67">
        <f>PSK_AT_verzia_4_0!Q296-PSK_AT_verzia_3_5!Q281</f>
        <v>0</v>
      </c>
    </row>
    <row r="297" spans="1:17" ht="28" customHeight="1" x14ac:dyDescent="0.35">
      <c r="A297" s="252"/>
      <c r="B297" s="251"/>
      <c r="C297" s="200">
        <f>PSK_AT_verzia_4_0!C297-PSK_AT_verzia_3_5!C282</f>
        <v>0</v>
      </c>
      <c r="D297" s="200">
        <f>PSK_AT_verzia_4_0!D297-PSK_AT_verzia_3_5!D282</f>
        <v>0</v>
      </c>
      <c r="E297" s="200">
        <f>PSK_AT_verzia_4_0!E297-PSK_AT_verzia_3_5!E282</f>
        <v>0</v>
      </c>
      <c r="F297" s="66" t="s">
        <v>275</v>
      </c>
      <c r="G297" s="71">
        <f>PSK_AT_verzia_4_0!G297-PSK_AT_verzia_3_5!G282</f>
        <v>-8318184</v>
      </c>
      <c r="H297" s="71">
        <f>PSK_AT_verzia_4_0!H297-PSK_AT_verzia_3_5!H282</f>
        <v>-8318184</v>
      </c>
      <c r="I297" s="71">
        <f>PSK_AT_verzia_4_0!I297-PSK_AT_verzia_3_5!I282</f>
        <v>0</v>
      </c>
      <c r="J297" s="71">
        <f>PSK_AT_verzia_4_0!J297-PSK_AT_verzia_3_5!J282</f>
        <v>-8318184</v>
      </c>
      <c r="K297" s="71">
        <f>PSK_AT_verzia_4_0!K297-PSK_AT_verzia_3_5!K282</f>
        <v>-8318184</v>
      </c>
      <c r="L297" s="71">
        <f>PSK_AT_verzia_4_0!L297-PSK_AT_verzia_3_5!L282</f>
        <v>0</v>
      </c>
      <c r="M297" s="71">
        <f>PSK_AT_verzia_4_0!M297-PSK_AT_verzia_3_5!M282</f>
        <v>0</v>
      </c>
      <c r="N297" s="71">
        <f>PSK_AT_verzia_4_0!N297-PSK_AT_verzia_3_5!N282</f>
        <v>0</v>
      </c>
      <c r="O297" s="71">
        <f>PSK_AT_verzia_4_0!O297-PSK_AT_verzia_3_5!O282</f>
        <v>0</v>
      </c>
      <c r="P297" s="71">
        <f>PSK_AT_verzia_4_0!P297-PSK_AT_verzia_3_5!P282</f>
        <v>0</v>
      </c>
      <c r="Q297" s="71">
        <f>PSK_AT_verzia_4_0!Q297-PSK_AT_verzia_3_5!Q282</f>
        <v>0</v>
      </c>
    </row>
    <row r="298" spans="1:17" ht="28" customHeight="1" x14ac:dyDescent="0.35">
      <c r="A298" s="252"/>
      <c r="B298" s="251"/>
      <c r="C298" s="200">
        <f>PSK_AT_verzia_4_0!C298-PSK_AT_verzia_3_5!C283</f>
        <v>0</v>
      </c>
      <c r="D298" s="200">
        <f>PSK_AT_verzia_4_0!D298-PSK_AT_verzia_3_5!D283</f>
        <v>0</v>
      </c>
      <c r="E298" s="200">
        <f>PSK_AT_verzia_4_0!E298-PSK_AT_verzia_3_5!E283</f>
        <v>0</v>
      </c>
      <c r="F298" s="66" t="s">
        <v>276</v>
      </c>
      <c r="G298" s="71">
        <f>PSK_AT_verzia_4_0!G298-PSK_AT_verzia_3_5!G283</f>
        <v>-13634904</v>
      </c>
      <c r="H298" s="71">
        <f>PSK_AT_verzia_4_0!H298-PSK_AT_verzia_3_5!H283</f>
        <v>-13634904</v>
      </c>
      <c r="I298" s="71">
        <f>PSK_AT_verzia_4_0!I298-PSK_AT_verzia_3_5!I283</f>
        <v>0</v>
      </c>
      <c r="J298" s="71">
        <f>PSK_AT_verzia_4_0!J298-PSK_AT_verzia_3_5!J283</f>
        <v>-13634904</v>
      </c>
      <c r="K298" s="71">
        <f>PSK_AT_verzia_4_0!K298-PSK_AT_verzia_3_5!K283</f>
        <v>-13634904</v>
      </c>
      <c r="L298" s="71">
        <f>PSK_AT_verzia_4_0!L298-PSK_AT_verzia_3_5!L283</f>
        <v>0</v>
      </c>
      <c r="M298" s="71">
        <f>PSK_AT_verzia_4_0!M298-PSK_AT_verzia_3_5!M283</f>
        <v>0</v>
      </c>
      <c r="N298" s="71">
        <f>PSK_AT_verzia_4_0!N298-PSK_AT_verzia_3_5!N283</f>
        <v>0</v>
      </c>
      <c r="O298" s="71">
        <f>PSK_AT_verzia_4_0!O298-PSK_AT_verzia_3_5!O283</f>
        <v>0</v>
      </c>
      <c r="P298" s="71">
        <f>PSK_AT_verzia_4_0!P298-PSK_AT_verzia_3_5!P283</f>
        <v>0</v>
      </c>
      <c r="Q298" s="71">
        <f>PSK_AT_verzia_4_0!Q298-PSK_AT_verzia_3_5!Q283</f>
        <v>0</v>
      </c>
    </row>
    <row r="299" spans="1:17" ht="28" customHeight="1" x14ac:dyDescent="0.35">
      <c r="A299" s="262" t="s">
        <v>277</v>
      </c>
      <c r="B299" s="251" t="s">
        <v>278</v>
      </c>
      <c r="C299" s="57">
        <f>PSK_AT_verzia_4_0!C299-PSK_AT_verzia_3_5!C284</f>
        <v>3097727</v>
      </c>
      <c r="D299" s="57">
        <f>PSK_AT_verzia_4_0!D299-PSK_AT_verzia_3_5!D284</f>
        <v>0</v>
      </c>
      <c r="E299" s="57">
        <f>PSK_AT_verzia_4_0!E299-PSK_AT_verzia_3_5!E284</f>
        <v>0</v>
      </c>
      <c r="F299" s="59" t="s">
        <v>279</v>
      </c>
      <c r="G299" s="58">
        <f>PSK_AT_verzia_4_0!G299-PSK_AT_verzia_3_5!G284</f>
        <v>3097727</v>
      </c>
      <c r="H299" s="58">
        <f>PSK_AT_verzia_4_0!H299-PSK_AT_verzia_3_5!H284</f>
        <v>4897727</v>
      </c>
      <c r="I299" s="58">
        <f>PSK_AT_verzia_4_0!I299-PSK_AT_verzia_3_5!I284</f>
        <v>-1800000</v>
      </c>
      <c r="J299" s="58">
        <f>PSK_AT_verzia_4_0!J299-PSK_AT_verzia_3_5!J284</f>
        <v>3097727</v>
      </c>
      <c r="K299" s="58">
        <f>PSK_AT_verzia_4_0!K299-PSK_AT_verzia_3_5!K284</f>
        <v>4897727</v>
      </c>
      <c r="L299" s="58">
        <f>PSK_AT_verzia_4_0!L299-PSK_AT_verzia_3_5!L284</f>
        <v>-1800000</v>
      </c>
      <c r="M299" s="58">
        <f>PSK_AT_verzia_4_0!M299-PSK_AT_verzia_3_5!M284</f>
        <v>0</v>
      </c>
      <c r="N299" s="58">
        <f>PSK_AT_verzia_4_0!N299-PSK_AT_verzia_3_5!N284</f>
        <v>0</v>
      </c>
      <c r="O299" s="58">
        <f>PSK_AT_verzia_4_0!O299-PSK_AT_verzia_3_5!O284</f>
        <v>0</v>
      </c>
      <c r="P299" s="58">
        <f>PSK_AT_verzia_4_0!P299-PSK_AT_verzia_3_5!P284</f>
        <v>0</v>
      </c>
      <c r="Q299" s="58">
        <f>PSK_AT_verzia_4_0!Q299-PSK_AT_verzia_3_5!Q284</f>
        <v>0</v>
      </c>
    </row>
    <row r="300" spans="1:17" ht="28" customHeight="1" x14ac:dyDescent="0.35">
      <c r="A300" s="262"/>
      <c r="B300" s="251"/>
      <c r="C300" s="99">
        <f>PSK_AT_verzia_4_0!C300-PSK_AT_verzia_3_5!C285</f>
        <v>3097727</v>
      </c>
      <c r="D300" s="60">
        <f>PSK_AT_verzia_4_0!D300-PSK_AT_verzia_3_5!D285</f>
        <v>0</v>
      </c>
      <c r="E300" s="60">
        <f>PSK_AT_verzia_4_0!E300-PSK_AT_verzia_3_5!E285</f>
        <v>0</v>
      </c>
      <c r="F300" s="61" t="s">
        <v>36</v>
      </c>
      <c r="G300" s="60">
        <f>PSK_AT_verzia_4_0!G300-PSK_AT_verzia_3_5!G285</f>
        <v>3097727</v>
      </c>
      <c r="H300" s="60">
        <f>PSK_AT_verzia_4_0!H300-PSK_AT_verzia_3_5!H285</f>
        <v>4897727</v>
      </c>
      <c r="I300" s="60">
        <f>PSK_AT_verzia_4_0!I300-PSK_AT_verzia_3_5!I285</f>
        <v>-1800000</v>
      </c>
      <c r="J300" s="60">
        <f>PSK_AT_verzia_4_0!J300-PSK_AT_verzia_3_5!J285</f>
        <v>3097727</v>
      </c>
      <c r="K300" s="60">
        <f>PSK_AT_verzia_4_0!K300-PSK_AT_verzia_3_5!K285</f>
        <v>4897727</v>
      </c>
      <c r="L300" s="60">
        <f>PSK_AT_verzia_4_0!L300-PSK_AT_verzia_3_5!L285</f>
        <v>-1800000</v>
      </c>
      <c r="M300" s="60">
        <f>PSK_AT_verzia_4_0!M300-PSK_AT_verzia_3_5!M285</f>
        <v>0</v>
      </c>
      <c r="N300" s="60">
        <f>PSK_AT_verzia_4_0!N300-PSK_AT_verzia_3_5!N285</f>
        <v>0</v>
      </c>
      <c r="O300" s="60">
        <f>PSK_AT_verzia_4_0!O300-PSK_AT_verzia_3_5!O285</f>
        <v>0</v>
      </c>
      <c r="P300" s="60">
        <f>PSK_AT_verzia_4_0!P300-PSK_AT_verzia_3_5!P285</f>
        <v>0</v>
      </c>
      <c r="Q300" s="60">
        <f>PSK_AT_verzia_4_0!Q300-PSK_AT_verzia_3_5!Q285</f>
        <v>0</v>
      </c>
    </row>
    <row r="301" spans="1:17" ht="28" customHeight="1" x14ac:dyDescent="0.35">
      <c r="A301" s="262"/>
      <c r="B301" s="251"/>
      <c r="C301" s="200">
        <f>PSK_AT_verzia_4_0!C301-PSK_AT_verzia_3_5!C286</f>
        <v>0</v>
      </c>
      <c r="D301" s="200">
        <f>PSK_AT_verzia_4_0!D301-PSK_AT_verzia_3_5!D286</f>
        <v>0</v>
      </c>
      <c r="E301" s="200">
        <f>PSK_AT_verzia_4_0!E301-PSK_AT_verzia_3_5!E286</f>
        <v>0</v>
      </c>
      <c r="F301" s="66" t="s">
        <v>37</v>
      </c>
      <c r="G301" s="67">
        <f>PSK_AT_verzia_4_0!G301-PSK_AT_verzia_3_5!G286</f>
        <v>0</v>
      </c>
      <c r="H301" s="67">
        <f>PSK_AT_verzia_4_0!H301-PSK_AT_verzia_3_5!H286</f>
        <v>0</v>
      </c>
      <c r="I301" s="67">
        <f>PSK_AT_verzia_4_0!I301-PSK_AT_verzia_3_5!I286</f>
        <v>0</v>
      </c>
      <c r="J301" s="67">
        <f>PSK_AT_verzia_4_0!J301-PSK_AT_verzia_3_5!J286</f>
        <v>0</v>
      </c>
      <c r="K301" s="67">
        <f>PSK_AT_verzia_4_0!K301-PSK_AT_verzia_3_5!K286</f>
        <v>0</v>
      </c>
      <c r="L301" s="67">
        <f>PSK_AT_verzia_4_0!L301-PSK_AT_verzia_3_5!L286</f>
        <v>0</v>
      </c>
      <c r="M301" s="67">
        <f>PSK_AT_verzia_4_0!M301-PSK_AT_verzia_3_5!M286</f>
        <v>0</v>
      </c>
      <c r="N301" s="67">
        <f>PSK_AT_verzia_4_0!N301-PSK_AT_verzia_3_5!N286</f>
        <v>0</v>
      </c>
      <c r="O301" s="67">
        <f>PSK_AT_verzia_4_0!O301-PSK_AT_verzia_3_5!O286</f>
        <v>0</v>
      </c>
      <c r="P301" s="67">
        <f>PSK_AT_verzia_4_0!P301-PSK_AT_verzia_3_5!P286</f>
        <v>0</v>
      </c>
      <c r="Q301" s="67">
        <f>PSK_AT_verzia_4_0!Q301-PSK_AT_verzia_3_5!Q286</f>
        <v>0</v>
      </c>
    </row>
    <row r="302" spans="1:17" ht="28" customHeight="1" x14ac:dyDescent="0.35">
      <c r="A302" s="262"/>
      <c r="B302" s="251"/>
      <c r="C302" s="200">
        <f>PSK_AT_verzia_4_0!C302-PSK_AT_verzia_3_5!C287</f>
        <v>0</v>
      </c>
      <c r="D302" s="200">
        <f>PSK_AT_verzia_4_0!D302-PSK_AT_verzia_3_5!D287</f>
        <v>0</v>
      </c>
      <c r="E302" s="200">
        <f>PSK_AT_verzia_4_0!E302-PSK_AT_verzia_3_5!E287</f>
        <v>0</v>
      </c>
      <c r="F302" s="66" t="s">
        <v>38</v>
      </c>
      <c r="G302" s="71">
        <f>PSK_AT_verzia_4_0!G302-PSK_AT_verzia_3_5!G287</f>
        <v>2768677</v>
      </c>
      <c r="H302" s="71">
        <f>PSK_AT_verzia_4_0!H302-PSK_AT_verzia_3_5!H287</f>
        <v>4568677</v>
      </c>
      <c r="I302" s="71">
        <f>PSK_AT_verzia_4_0!I302-PSK_AT_verzia_3_5!I287</f>
        <v>-1800000</v>
      </c>
      <c r="J302" s="71">
        <f>PSK_AT_verzia_4_0!J302-PSK_AT_verzia_3_5!J287</f>
        <v>2768677</v>
      </c>
      <c r="K302" s="71">
        <f>PSK_AT_verzia_4_0!K302-PSK_AT_verzia_3_5!K287</f>
        <v>4568677</v>
      </c>
      <c r="L302" s="71">
        <f>PSK_AT_verzia_4_0!L302-PSK_AT_verzia_3_5!L287</f>
        <v>-1800000</v>
      </c>
      <c r="M302" s="71">
        <f>PSK_AT_verzia_4_0!M302-PSK_AT_verzia_3_5!M287</f>
        <v>0</v>
      </c>
      <c r="N302" s="71">
        <f>PSK_AT_verzia_4_0!N302-PSK_AT_verzia_3_5!N287</f>
        <v>0</v>
      </c>
      <c r="O302" s="71">
        <f>PSK_AT_verzia_4_0!O302-PSK_AT_verzia_3_5!O287</f>
        <v>0</v>
      </c>
      <c r="P302" s="71">
        <f>PSK_AT_verzia_4_0!P302-PSK_AT_verzia_3_5!P287</f>
        <v>0</v>
      </c>
      <c r="Q302" s="71">
        <f>PSK_AT_verzia_4_0!Q302-PSK_AT_verzia_3_5!Q287</f>
        <v>0</v>
      </c>
    </row>
    <row r="303" spans="1:17" ht="28" customHeight="1" x14ac:dyDescent="0.35">
      <c r="A303" s="262"/>
      <c r="B303" s="251"/>
      <c r="C303" s="200">
        <f>PSK_AT_verzia_4_0!C303-PSK_AT_verzia_3_5!C288</f>
        <v>0</v>
      </c>
      <c r="D303" s="200">
        <f>PSK_AT_verzia_4_0!D303-PSK_AT_verzia_3_5!D288</f>
        <v>0</v>
      </c>
      <c r="E303" s="200">
        <f>PSK_AT_verzia_4_0!E303-PSK_AT_verzia_3_5!E288</f>
        <v>0</v>
      </c>
      <c r="F303" s="66" t="s">
        <v>39</v>
      </c>
      <c r="G303" s="71">
        <f>PSK_AT_verzia_4_0!G303-PSK_AT_verzia_3_5!G288</f>
        <v>329050</v>
      </c>
      <c r="H303" s="71">
        <f>PSK_AT_verzia_4_0!H303-PSK_AT_verzia_3_5!H288</f>
        <v>329050</v>
      </c>
      <c r="I303" s="71">
        <f>PSK_AT_verzia_4_0!I303-PSK_AT_verzia_3_5!I288</f>
        <v>0</v>
      </c>
      <c r="J303" s="71">
        <f>PSK_AT_verzia_4_0!J303-PSK_AT_verzia_3_5!J288</f>
        <v>329050</v>
      </c>
      <c r="K303" s="71">
        <f>PSK_AT_verzia_4_0!K303-PSK_AT_verzia_3_5!K288</f>
        <v>329050</v>
      </c>
      <c r="L303" s="71">
        <f>PSK_AT_verzia_4_0!L303-PSK_AT_verzia_3_5!L288</f>
        <v>0</v>
      </c>
      <c r="M303" s="71">
        <f>PSK_AT_verzia_4_0!M303-PSK_AT_verzia_3_5!M288</f>
        <v>0</v>
      </c>
      <c r="N303" s="71">
        <f>PSK_AT_verzia_4_0!N303-PSK_AT_verzia_3_5!N288</f>
        <v>0</v>
      </c>
      <c r="O303" s="71">
        <f>PSK_AT_verzia_4_0!O303-PSK_AT_verzia_3_5!O288</f>
        <v>0</v>
      </c>
      <c r="P303" s="71">
        <f>PSK_AT_verzia_4_0!P303-PSK_AT_verzia_3_5!P288</f>
        <v>0</v>
      </c>
      <c r="Q303" s="71">
        <f>PSK_AT_verzia_4_0!Q303-PSK_AT_verzia_3_5!Q288</f>
        <v>0</v>
      </c>
    </row>
    <row r="304" spans="1:17" ht="28" customHeight="1" x14ac:dyDescent="0.35">
      <c r="A304" s="252" t="s">
        <v>280</v>
      </c>
      <c r="B304" s="251" t="s">
        <v>281</v>
      </c>
      <c r="C304" s="57">
        <f>PSK_AT_verzia_4_0!C304-PSK_AT_verzia_3_5!C289</f>
        <v>-7650000</v>
      </c>
      <c r="D304" s="57">
        <f>PSK_AT_verzia_4_0!D304-PSK_AT_verzia_3_5!D289</f>
        <v>0</v>
      </c>
      <c r="E304" s="57">
        <f>PSK_AT_verzia_4_0!E304-PSK_AT_verzia_3_5!E289</f>
        <v>0</v>
      </c>
      <c r="F304" s="59" t="s">
        <v>282</v>
      </c>
      <c r="G304" s="58">
        <f>PSK_AT_verzia_4_0!G304-PSK_AT_verzia_3_5!G289</f>
        <v>-7650000</v>
      </c>
      <c r="H304" s="58">
        <f>PSK_AT_verzia_4_0!H304-PSK_AT_verzia_3_5!H289</f>
        <v>0</v>
      </c>
      <c r="I304" s="58">
        <f>PSK_AT_verzia_4_0!I304-PSK_AT_verzia_3_5!I289</f>
        <v>0</v>
      </c>
      <c r="J304" s="58">
        <f>PSK_AT_verzia_4_0!J304-PSK_AT_verzia_3_5!J289</f>
        <v>0</v>
      </c>
      <c r="K304" s="58">
        <f>PSK_AT_verzia_4_0!K304-PSK_AT_verzia_3_5!K289</f>
        <v>0</v>
      </c>
      <c r="L304" s="58">
        <f>PSK_AT_verzia_4_0!L304-PSK_AT_verzia_3_5!L289</f>
        <v>0</v>
      </c>
      <c r="M304" s="58">
        <f>PSK_AT_verzia_4_0!M304-PSK_AT_verzia_3_5!M289</f>
        <v>-7650000</v>
      </c>
      <c r="N304" s="58">
        <f>PSK_AT_verzia_4_0!N304-PSK_AT_verzia_3_5!N289</f>
        <v>0</v>
      </c>
      <c r="O304" s="58">
        <f>PSK_AT_verzia_4_0!O304-PSK_AT_verzia_3_5!O289</f>
        <v>0</v>
      </c>
      <c r="P304" s="58">
        <f>PSK_AT_verzia_4_0!P304-PSK_AT_verzia_3_5!P289</f>
        <v>0</v>
      </c>
      <c r="Q304" s="58">
        <f>PSK_AT_verzia_4_0!Q304-PSK_AT_verzia_3_5!Q289</f>
        <v>0</v>
      </c>
    </row>
    <row r="305" spans="1:17" ht="28" customHeight="1" x14ac:dyDescent="0.35">
      <c r="A305" s="252"/>
      <c r="B305" s="251"/>
      <c r="C305" s="99">
        <f>PSK_AT_verzia_4_0!C305-PSK_AT_verzia_3_5!C290</f>
        <v>-7650000</v>
      </c>
      <c r="D305" s="60">
        <f>PSK_AT_verzia_4_0!D305-PSK_AT_verzia_3_5!D290</f>
        <v>0</v>
      </c>
      <c r="E305" s="60">
        <f>PSK_AT_verzia_4_0!E305-PSK_AT_verzia_3_5!E290</f>
        <v>0</v>
      </c>
      <c r="F305" s="61" t="s">
        <v>115</v>
      </c>
      <c r="G305" s="60">
        <f>PSK_AT_verzia_4_0!G305-PSK_AT_verzia_3_5!G290</f>
        <v>-7650000</v>
      </c>
      <c r="H305" s="60">
        <f>PSK_AT_verzia_4_0!H305-PSK_AT_verzia_3_5!H290</f>
        <v>0</v>
      </c>
      <c r="I305" s="60">
        <f>PSK_AT_verzia_4_0!I305-PSK_AT_verzia_3_5!I290</f>
        <v>0</v>
      </c>
      <c r="J305" s="60">
        <f>PSK_AT_verzia_4_0!J305-PSK_AT_verzia_3_5!J290</f>
        <v>0</v>
      </c>
      <c r="K305" s="60">
        <f>PSK_AT_verzia_4_0!K305-PSK_AT_verzia_3_5!K290</f>
        <v>0</v>
      </c>
      <c r="L305" s="60">
        <f>PSK_AT_verzia_4_0!L305-PSK_AT_verzia_3_5!L290</f>
        <v>0</v>
      </c>
      <c r="M305" s="60">
        <f>PSK_AT_verzia_4_0!M305-PSK_AT_verzia_3_5!M290</f>
        <v>-7650000</v>
      </c>
      <c r="N305" s="60">
        <f>PSK_AT_verzia_4_0!N305-PSK_AT_verzia_3_5!N290</f>
        <v>0</v>
      </c>
      <c r="O305" s="60">
        <f>PSK_AT_verzia_4_0!O305-PSK_AT_verzia_3_5!O290</f>
        <v>0</v>
      </c>
      <c r="P305" s="60">
        <f>PSK_AT_verzia_4_0!P305-PSK_AT_verzia_3_5!P290</f>
        <v>0</v>
      </c>
      <c r="Q305" s="60">
        <f>PSK_AT_verzia_4_0!Q305-PSK_AT_verzia_3_5!Q290</f>
        <v>0</v>
      </c>
    </row>
    <row r="306" spans="1:17" ht="28" customHeight="1" x14ac:dyDescent="0.35">
      <c r="A306" s="252"/>
      <c r="B306" s="251"/>
      <c r="C306" s="200">
        <f>PSK_AT_verzia_4_0!C306-PSK_AT_verzia_3_5!C291</f>
        <v>0</v>
      </c>
      <c r="D306" s="200">
        <f>PSK_AT_verzia_4_0!D306-PSK_AT_verzia_3_5!D291</f>
        <v>0</v>
      </c>
      <c r="E306" s="200">
        <f>PSK_AT_verzia_4_0!E306-PSK_AT_verzia_3_5!E291</f>
        <v>0</v>
      </c>
      <c r="F306" s="66" t="s">
        <v>116</v>
      </c>
      <c r="G306" s="67">
        <f>PSK_AT_verzia_4_0!G306-PSK_AT_verzia_3_5!G291</f>
        <v>0</v>
      </c>
      <c r="H306" s="67">
        <f>PSK_AT_verzia_4_0!H306-PSK_AT_verzia_3_5!H291</f>
        <v>0</v>
      </c>
      <c r="I306" s="67">
        <f>PSK_AT_verzia_4_0!I306-PSK_AT_verzia_3_5!I291</f>
        <v>0</v>
      </c>
      <c r="J306" s="67">
        <f>PSK_AT_verzia_4_0!J306-PSK_AT_verzia_3_5!J291</f>
        <v>0</v>
      </c>
      <c r="K306" s="67">
        <f>PSK_AT_verzia_4_0!K306-PSK_AT_verzia_3_5!K291</f>
        <v>0</v>
      </c>
      <c r="L306" s="67">
        <f>PSK_AT_verzia_4_0!L306-PSK_AT_verzia_3_5!L291</f>
        <v>0</v>
      </c>
      <c r="M306" s="67">
        <f>PSK_AT_verzia_4_0!M306-PSK_AT_verzia_3_5!M291</f>
        <v>0</v>
      </c>
      <c r="N306" s="67">
        <f>PSK_AT_verzia_4_0!N306-PSK_AT_verzia_3_5!N291</f>
        <v>0</v>
      </c>
      <c r="O306" s="67">
        <f>PSK_AT_verzia_4_0!O306-PSK_AT_verzia_3_5!O291</f>
        <v>0</v>
      </c>
      <c r="P306" s="67">
        <f>PSK_AT_verzia_4_0!P306-PSK_AT_verzia_3_5!P291</f>
        <v>0</v>
      </c>
      <c r="Q306" s="67">
        <f>PSK_AT_verzia_4_0!Q306-PSK_AT_verzia_3_5!Q291</f>
        <v>0</v>
      </c>
    </row>
    <row r="307" spans="1:17" ht="28" customHeight="1" x14ac:dyDescent="0.35">
      <c r="A307" s="252"/>
      <c r="B307" s="251"/>
      <c r="C307" s="200">
        <f>PSK_AT_verzia_4_0!C307-PSK_AT_verzia_3_5!C292</f>
        <v>0</v>
      </c>
      <c r="D307" s="200">
        <f>PSK_AT_verzia_4_0!D307-PSK_AT_verzia_3_5!D292</f>
        <v>0</v>
      </c>
      <c r="E307" s="200">
        <f>PSK_AT_verzia_4_0!E307-PSK_AT_verzia_3_5!E292</f>
        <v>0</v>
      </c>
      <c r="F307" s="66" t="s">
        <v>275</v>
      </c>
      <c r="G307" s="71">
        <f>PSK_AT_verzia_4_0!G307-PSK_AT_verzia_3_5!G292</f>
        <v>-7650000</v>
      </c>
      <c r="H307" s="71">
        <f>PSK_AT_verzia_4_0!H307-PSK_AT_verzia_3_5!H292</f>
        <v>0</v>
      </c>
      <c r="I307" s="71">
        <f>PSK_AT_verzia_4_0!I307-PSK_AT_verzia_3_5!I292</f>
        <v>0</v>
      </c>
      <c r="J307" s="71">
        <f>PSK_AT_verzia_4_0!J307-PSK_AT_verzia_3_5!J292</f>
        <v>0</v>
      </c>
      <c r="K307" s="71">
        <f>PSK_AT_verzia_4_0!K307-PSK_AT_verzia_3_5!K292</f>
        <v>0</v>
      </c>
      <c r="L307" s="71">
        <f>PSK_AT_verzia_4_0!L307-PSK_AT_verzia_3_5!L292</f>
        <v>0</v>
      </c>
      <c r="M307" s="71">
        <f>PSK_AT_verzia_4_0!M307-PSK_AT_verzia_3_5!M292</f>
        <v>-7650000</v>
      </c>
      <c r="N307" s="71">
        <f>PSK_AT_verzia_4_0!N307-PSK_AT_verzia_3_5!N292</f>
        <v>0</v>
      </c>
      <c r="O307" s="71">
        <f>PSK_AT_verzia_4_0!O307-PSK_AT_verzia_3_5!O292</f>
        <v>0</v>
      </c>
      <c r="P307" s="71">
        <f>PSK_AT_verzia_4_0!P307-PSK_AT_verzia_3_5!P292</f>
        <v>0</v>
      </c>
      <c r="Q307" s="71">
        <f>PSK_AT_verzia_4_0!Q307-PSK_AT_verzia_3_5!Q292</f>
        <v>0</v>
      </c>
    </row>
    <row r="308" spans="1:17" ht="28" customHeight="1" x14ac:dyDescent="0.35">
      <c r="A308" s="252"/>
      <c r="B308" s="251"/>
      <c r="C308" s="200">
        <f>PSK_AT_verzia_4_0!C308-PSK_AT_verzia_3_5!C293</f>
        <v>0</v>
      </c>
      <c r="D308" s="200">
        <f>PSK_AT_verzia_4_0!D308-PSK_AT_verzia_3_5!D293</f>
        <v>0</v>
      </c>
      <c r="E308" s="200">
        <f>PSK_AT_verzia_4_0!E308-PSK_AT_verzia_3_5!E293</f>
        <v>0</v>
      </c>
      <c r="F308" s="66" t="s">
        <v>276</v>
      </c>
      <c r="G308" s="71">
        <f>PSK_AT_verzia_4_0!G308-PSK_AT_verzia_3_5!G293</f>
        <v>0</v>
      </c>
      <c r="H308" s="71">
        <f>PSK_AT_verzia_4_0!H308-PSK_AT_verzia_3_5!H293</f>
        <v>0</v>
      </c>
      <c r="I308" s="71">
        <f>PSK_AT_verzia_4_0!I308-PSK_AT_verzia_3_5!I293</f>
        <v>0</v>
      </c>
      <c r="J308" s="71">
        <f>PSK_AT_verzia_4_0!J308-PSK_AT_verzia_3_5!J293</f>
        <v>0</v>
      </c>
      <c r="K308" s="71">
        <f>PSK_AT_verzia_4_0!K308-PSK_AT_verzia_3_5!K293</f>
        <v>0</v>
      </c>
      <c r="L308" s="71">
        <f>PSK_AT_verzia_4_0!L308-PSK_AT_verzia_3_5!L293</f>
        <v>0</v>
      </c>
      <c r="M308" s="71">
        <f>PSK_AT_verzia_4_0!M308-PSK_AT_verzia_3_5!M293</f>
        <v>0</v>
      </c>
      <c r="N308" s="71">
        <f>PSK_AT_verzia_4_0!N308-PSK_AT_verzia_3_5!N293</f>
        <v>0</v>
      </c>
      <c r="O308" s="71">
        <f>PSK_AT_verzia_4_0!O308-PSK_AT_verzia_3_5!O293</f>
        <v>0</v>
      </c>
      <c r="P308" s="71">
        <f>PSK_AT_verzia_4_0!P308-PSK_AT_verzia_3_5!P293</f>
        <v>0</v>
      </c>
      <c r="Q308" s="71">
        <f>PSK_AT_verzia_4_0!Q308-PSK_AT_verzia_3_5!Q293</f>
        <v>0</v>
      </c>
    </row>
    <row r="309" spans="1:17" ht="28" customHeight="1" x14ac:dyDescent="0.35">
      <c r="A309" s="45" t="s">
        <v>757</v>
      </c>
      <c r="B309" s="46" t="s">
        <v>758</v>
      </c>
      <c r="C309" s="47">
        <f>PSK_AT_verzia_4_0!C309</f>
        <v>2765237</v>
      </c>
      <c r="D309" s="47">
        <f>PSK_AT_verzia_4_0!D309</f>
        <v>0</v>
      </c>
      <c r="E309" s="47">
        <f>PSK_AT_verzia_4_0!E309</f>
        <v>0</v>
      </c>
      <c r="F309" s="49"/>
      <c r="G309" s="48">
        <f>PSK_AT_verzia_4_0!G309</f>
        <v>62765237</v>
      </c>
      <c r="H309" s="48">
        <f>PSK_AT_verzia_4_0!H309</f>
        <v>2765237</v>
      </c>
      <c r="I309" s="48">
        <f>PSK_AT_verzia_4_0!I309</f>
        <v>0</v>
      </c>
      <c r="J309" s="48">
        <f>PSK_AT_verzia_4_0!J309</f>
        <v>2765237</v>
      </c>
      <c r="K309" s="48">
        <f>PSK_AT_verzia_4_0!K309</f>
        <v>2765237</v>
      </c>
      <c r="L309" s="48">
        <f>PSK_AT_verzia_4_0!L309</f>
        <v>0</v>
      </c>
      <c r="M309" s="48">
        <f>PSK_AT_verzia_4_0!M309</f>
        <v>60000000</v>
      </c>
      <c r="N309" s="48">
        <f>PSK_AT_verzia_4_0!N309</f>
        <v>0</v>
      </c>
      <c r="O309" s="48">
        <f>PSK_AT_verzia_4_0!O309</f>
        <v>0</v>
      </c>
      <c r="P309" s="48">
        <f>PSK_AT_verzia_4_0!P309</f>
        <v>0</v>
      </c>
      <c r="Q309" s="48">
        <f>PSK_AT_verzia_4_0!Q309</f>
        <v>0</v>
      </c>
    </row>
    <row r="310" spans="1:17" ht="28" customHeight="1" x14ac:dyDescent="0.35">
      <c r="A310" s="228" t="s">
        <v>180</v>
      </c>
      <c r="B310" s="231" t="s">
        <v>810</v>
      </c>
      <c r="C310" s="52">
        <f>PSK_AT_verzia_4_0!C310</f>
        <v>2765237</v>
      </c>
      <c r="D310" s="52">
        <f>PSK_AT_verzia_4_0!D310</f>
        <v>0</v>
      </c>
      <c r="E310" s="52">
        <f>PSK_AT_verzia_4_0!E310</f>
        <v>0</v>
      </c>
      <c r="F310" s="54" t="s">
        <v>182</v>
      </c>
      <c r="G310" s="52">
        <f>PSK_AT_verzia_4_0!G310</f>
        <v>62765237</v>
      </c>
      <c r="H310" s="52">
        <f>PSK_AT_verzia_4_0!H310</f>
        <v>2765237</v>
      </c>
      <c r="I310" s="52">
        <f>PSK_AT_verzia_4_0!I310</f>
        <v>0</v>
      </c>
      <c r="J310" s="52">
        <f>PSK_AT_verzia_4_0!J310</f>
        <v>2765237</v>
      </c>
      <c r="K310" s="52">
        <f>PSK_AT_verzia_4_0!K310</f>
        <v>2765237</v>
      </c>
      <c r="L310" s="52">
        <f>PSK_AT_verzia_4_0!L310</f>
        <v>0</v>
      </c>
      <c r="M310" s="52">
        <f>PSK_AT_verzia_4_0!M310</f>
        <v>60000000</v>
      </c>
      <c r="N310" s="52">
        <f>PSK_AT_verzia_4_0!N310</f>
        <v>0</v>
      </c>
      <c r="O310" s="52">
        <f>PSK_AT_verzia_4_0!O310</f>
        <v>0</v>
      </c>
      <c r="P310" s="52">
        <f>PSK_AT_verzia_4_0!P310</f>
        <v>0</v>
      </c>
      <c r="Q310" s="52">
        <f>PSK_AT_verzia_4_0!Q310</f>
        <v>0</v>
      </c>
    </row>
    <row r="311" spans="1:17" ht="28" customHeight="1" x14ac:dyDescent="0.35">
      <c r="A311" s="229"/>
      <c r="B311" s="232"/>
      <c r="C311" s="60">
        <f>PSK_AT_verzia_4_0!C311</f>
        <v>0</v>
      </c>
      <c r="D311" s="60">
        <f>PSK_AT_verzia_4_0!D311</f>
        <v>0</v>
      </c>
      <c r="E311" s="60">
        <f>PSK_AT_verzia_4_0!E311</f>
        <v>0</v>
      </c>
      <c r="F311" s="61" t="s">
        <v>150</v>
      </c>
      <c r="G311" s="60">
        <f>PSK_AT_verzia_4_0!G311</f>
        <v>60000000</v>
      </c>
      <c r="H311" s="60">
        <f>PSK_AT_verzia_4_0!H311</f>
        <v>0</v>
      </c>
      <c r="I311" s="60">
        <f>PSK_AT_verzia_4_0!I311</f>
        <v>0</v>
      </c>
      <c r="J311" s="60">
        <f>PSK_AT_verzia_4_0!J311</f>
        <v>0</v>
      </c>
      <c r="K311" s="60">
        <f>PSK_AT_verzia_4_0!K311</f>
        <v>0</v>
      </c>
      <c r="L311" s="60">
        <f>PSK_AT_verzia_4_0!L311</f>
        <v>0</v>
      </c>
      <c r="M311" s="60">
        <f>PSK_AT_verzia_4_0!M311</f>
        <v>60000000</v>
      </c>
      <c r="N311" s="60">
        <f>PSK_AT_verzia_4_0!N311</f>
        <v>0</v>
      </c>
      <c r="O311" s="60">
        <f>PSK_AT_verzia_4_0!O311</f>
        <v>0</v>
      </c>
      <c r="P311" s="60">
        <f>PSK_AT_verzia_4_0!P311</f>
        <v>0</v>
      </c>
      <c r="Q311" s="60">
        <f>PSK_AT_verzia_4_0!Q311</f>
        <v>0</v>
      </c>
    </row>
    <row r="312" spans="1:17" ht="28" customHeight="1" x14ac:dyDescent="0.35">
      <c r="A312" s="229"/>
      <c r="B312" s="232"/>
      <c r="C312" s="200">
        <f>PSK_AT_verzia_4_0!C312</f>
        <v>0</v>
      </c>
      <c r="D312" s="200">
        <f>PSK_AT_verzia_4_0!D312</f>
        <v>0</v>
      </c>
      <c r="E312" s="200">
        <f>PSK_AT_verzia_4_0!E312</f>
        <v>0</v>
      </c>
      <c r="F312" s="66" t="s">
        <v>151</v>
      </c>
      <c r="G312" s="67">
        <f>PSK_AT_verzia_4_0!G312</f>
        <v>60000000</v>
      </c>
      <c r="H312" s="67">
        <f>PSK_AT_verzia_4_0!H312</f>
        <v>0</v>
      </c>
      <c r="I312" s="67">
        <f>PSK_AT_verzia_4_0!I312</f>
        <v>0</v>
      </c>
      <c r="J312" s="67">
        <f>PSK_AT_verzia_4_0!J312</f>
        <v>0</v>
      </c>
      <c r="K312" s="67">
        <f>PSK_AT_verzia_4_0!K312</f>
        <v>0</v>
      </c>
      <c r="L312" s="67">
        <f>PSK_AT_verzia_4_0!L312</f>
        <v>0</v>
      </c>
      <c r="M312" s="67">
        <f>PSK_AT_verzia_4_0!M312</f>
        <v>60000000</v>
      </c>
      <c r="N312" s="67">
        <f>PSK_AT_verzia_4_0!N312</f>
        <v>0</v>
      </c>
      <c r="O312" s="67">
        <f>PSK_AT_verzia_4_0!O312</f>
        <v>0</v>
      </c>
      <c r="P312" s="67">
        <f>PSK_AT_verzia_4_0!P312</f>
        <v>0</v>
      </c>
      <c r="Q312" s="67">
        <f>PSK_AT_verzia_4_0!Q312</f>
        <v>0</v>
      </c>
    </row>
    <row r="313" spans="1:17" ht="28" customHeight="1" x14ac:dyDescent="0.35">
      <c r="A313" s="229"/>
      <c r="B313" s="232"/>
      <c r="C313" s="200">
        <f>PSK_AT_verzia_4_0!C313</f>
        <v>2765237</v>
      </c>
      <c r="D313" s="200">
        <f>PSK_AT_verzia_4_0!D313</f>
        <v>0</v>
      </c>
      <c r="E313" s="200">
        <f>PSK_AT_verzia_4_0!E313</f>
        <v>0</v>
      </c>
      <c r="F313" s="61" t="s">
        <v>36</v>
      </c>
      <c r="G313" s="60">
        <f>PSK_AT_verzia_4_0!G313</f>
        <v>2765237</v>
      </c>
      <c r="H313" s="60">
        <f>PSK_AT_verzia_4_0!H313</f>
        <v>2765237</v>
      </c>
      <c r="I313" s="60">
        <f>PSK_AT_verzia_4_0!I313</f>
        <v>0</v>
      </c>
      <c r="J313" s="60">
        <f>PSK_AT_verzia_4_0!J313</f>
        <v>2765237</v>
      </c>
      <c r="K313" s="60">
        <f>PSK_AT_verzia_4_0!K313</f>
        <v>2765237</v>
      </c>
      <c r="L313" s="60">
        <f>PSK_AT_verzia_4_0!L313</f>
        <v>0</v>
      </c>
      <c r="M313" s="60">
        <f>PSK_AT_verzia_4_0!M313</f>
        <v>0</v>
      </c>
      <c r="N313" s="60">
        <f>PSK_AT_verzia_4_0!N313</f>
        <v>0</v>
      </c>
      <c r="O313" s="60">
        <f>PSK_AT_verzia_4_0!O313</f>
        <v>0</v>
      </c>
      <c r="P313" s="60">
        <f>PSK_AT_verzia_4_0!P313</f>
        <v>0</v>
      </c>
      <c r="Q313" s="60">
        <f>PSK_AT_verzia_4_0!Q313</f>
        <v>0</v>
      </c>
    </row>
    <row r="314" spans="1:17" ht="28" customHeight="1" x14ac:dyDescent="0.35">
      <c r="A314" s="229"/>
      <c r="B314" s="232"/>
      <c r="C314" s="200">
        <f>PSK_AT_verzia_4_0!C314</f>
        <v>0</v>
      </c>
      <c r="D314" s="200">
        <f>PSK_AT_verzia_4_0!D314</f>
        <v>0</v>
      </c>
      <c r="E314" s="200">
        <f>PSK_AT_verzia_4_0!E314</f>
        <v>0</v>
      </c>
      <c r="F314" s="66" t="s">
        <v>38</v>
      </c>
      <c r="G314" s="71">
        <f>PSK_AT_verzia_4_0!G314</f>
        <v>1540237</v>
      </c>
      <c r="H314" s="71">
        <f>PSK_AT_verzia_4_0!H314</f>
        <v>1540237</v>
      </c>
      <c r="I314" s="71">
        <f>PSK_AT_verzia_4_0!I314</f>
        <v>0</v>
      </c>
      <c r="J314" s="71">
        <f>PSK_AT_verzia_4_0!J314</f>
        <v>1540237</v>
      </c>
      <c r="K314" s="71">
        <f>PSK_AT_verzia_4_0!K314</f>
        <v>1540237</v>
      </c>
      <c r="L314" s="71">
        <f>PSK_AT_verzia_4_0!L314</f>
        <v>0</v>
      </c>
      <c r="M314" s="71">
        <f>PSK_AT_verzia_4_0!M314</f>
        <v>0</v>
      </c>
      <c r="N314" s="71">
        <f>PSK_AT_verzia_4_0!N314</f>
        <v>0</v>
      </c>
      <c r="O314" s="71">
        <f>PSK_AT_verzia_4_0!O314</f>
        <v>0</v>
      </c>
      <c r="P314" s="71">
        <f>PSK_AT_verzia_4_0!P314</f>
        <v>0</v>
      </c>
      <c r="Q314" s="71">
        <f>PSK_AT_verzia_4_0!Q314</f>
        <v>0</v>
      </c>
    </row>
    <row r="315" spans="1:17" ht="28" customHeight="1" x14ac:dyDescent="0.35">
      <c r="A315" s="230"/>
      <c r="B315" s="233"/>
      <c r="C315" s="200">
        <f>PSK_AT_verzia_4_0!C315</f>
        <v>0</v>
      </c>
      <c r="D315" s="200">
        <f>PSK_AT_verzia_4_0!D315</f>
        <v>0</v>
      </c>
      <c r="E315" s="200">
        <f>PSK_AT_verzia_4_0!E315</f>
        <v>0</v>
      </c>
      <c r="F315" s="66" t="s">
        <v>39</v>
      </c>
      <c r="G315" s="71">
        <f>PSK_AT_verzia_4_0!G315</f>
        <v>1225000</v>
      </c>
      <c r="H315" s="71">
        <f>PSK_AT_verzia_4_0!H315</f>
        <v>1225000</v>
      </c>
      <c r="I315" s="71">
        <f>PSK_AT_verzia_4_0!I315</f>
        <v>0</v>
      </c>
      <c r="J315" s="71">
        <f>PSK_AT_verzia_4_0!J315</f>
        <v>1225000</v>
      </c>
      <c r="K315" s="71">
        <f>PSK_AT_verzia_4_0!K315</f>
        <v>1225000</v>
      </c>
      <c r="L315" s="71">
        <f>PSK_AT_verzia_4_0!L315</f>
        <v>0</v>
      </c>
      <c r="M315" s="71">
        <f>PSK_AT_verzia_4_0!M315</f>
        <v>0</v>
      </c>
      <c r="N315" s="71">
        <f>PSK_AT_verzia_4_0!N315</f>
        <v>0</v>
      </c>
      <c r="O315" s="71">
        <f>PSK_AT_verzia_4_0!O315</f>
        <v>0</v>
      </c>
      <c r="P315" s="71">
        <f>PSK_AT_verzia_4_0!P315</f>
        <v>0</v>
      </c>
      <c r="Q315" s="71">
        <f>PSK_AT_verzia_4_0!Q315</f>
        <v>0</v>
      </c>
    </row>
    <row r="316" spans="1:17" ht="28" customHeight="1" x14ac:dyDescent="0.35">
      <c r="A316" s="45" t="s">
        <v>759</v>
      </c>
      <c r="B316" s="46" t="s">
        <v>760</v>
      </c>
      <c r="C316" s="47">
        <f>PSK_AT_verzia_4_0!C316</f>
        <v>7650000</v>
      </c>
      <c r="D316" s="47">
        <f>PSK_AT_verzia_4_0!D316</f>
        <v>0</v>
      </c>
      <c r="E316" s="48">
        <f>PSK_AT_verzia_4_0!E316</f>
        <v>0</v>
      </c>
      <c r="F316" s="49"/>
      <c r="G316" s="48">
        <f>PSK_AT_verzia_4_0!G316</f>
        <v>31650000</v>
      </c>
      <c r="H316" s="48">
        <f>PSK_AT_verzia_4_0!H316</f>
        <v>21000000</v>
      </c>
      <c r="I316" s="48">
        <f>PSK_AT_verzia_4_0!I316</f>
        <v>3000000</v>
      </c>
      <c r="J316" s="48">
        <f>PSK_AT_verzia_4_0!J316</f>
        <v>24000000</v>
      </c>
      <c r="K316" s="48">
        <f>PSK_AT_verzia_4_0!K316</f>
        <v>21000000</v>
      </c>
      <c r="L316" s="48">
        <f>PSK_AT_verzia_4_0!L316</f>
        <v>3000000</v>
      </c>
      <c r="M316" s="48">
        <f>PSK_AT_verzia_4_0!M316</f>
        <v>7650000</v>
      </c>
      <c r="N316" s="48">
        <f>PSK_AT_verzia_4_0!N316</f>
        <v>0</v>
      </c>
      <c r="O316" s="48">
        <f>PSK_AT_verzia_4_0!O316</f>
        <v>0</v>
      </c>
      <c r="P316" s="48">
        <f>PSK_AT_verzia_4_0!P316</f>
        <v>0</v>
      </c>
      <c r="Q316" s="48">
        <f>PSK_AT_verzia_4_0!Q316</f>
        <v>0</v>
      </c>
    </row>
    <row r="317" spans="1:17" ht="28" customHeight="1" x14ac:dyDescent="0.35">
      <c r="A317" s="228" t="s">
        <v>761</v>
      </c>
      <c r="B317" s="231" t="s">
        <v>270</v>
      </c>
      <c r="C317" s="53">
        <f>PSK_AT_verzia_4_0!C317</f>
        <v>7650000</v>
      </c>
      <c r="D317" s="53">
        <f>PSK_AT_verzia_4_0!D317</f>
        <v>0</v>
      </c>
      <c r="E317" s="53">
        <f>PSK_AT_verzia_4_0!E317</f>
        <v>0</v>
      </c>
      <c r="F317" s="54" t="s">
        <v>762</v>
      </c>
      <c r="G317" s="52">
        <f>PSK_AT_verzia_4_0!G317</f>
        <v>31650000</v>
      </c>
      <c r="H317" s="52">
        <f>PSK_AT_verzia_4_0!H317</f>
        <v>21000000</v>
      </c>
      <c r="I317" s="52">
        <f>PSK_AT_verzia_4_0!I317</f>
        <v>3000000</v>
      </c>
      <c r="J317" s="52">
        <f>PSK_AT_verzia_4_0!J317</f>
        <v>24000000</v>
      </c>
      <c r="K317" s="52">
        <f>PSK_AT_verzia_4_0!K317</f>
        <v>21000000</v>
      </c>
      <c r="L317" s="52">
        <f>PSK_AT_verzia_4_0!L317</f>
        <v>3000000</v>
      </c>
      <c r="M317" s="52">
        <f>PSK_AT_verzia_4_0!M317</f>
        <v>7650000</v>
      </c>
      <c r="N317" s="52">
        <f>PSK_AT_verzia_4_0!N317</f>
        <v>0</v>
      </c>
      <c r="O317" s="52">
        <f>PSK_AT_verzia_4_0!O317</f>
        <v>0</v>
      </c>
      <c r="P317" s="52">
        <f>PSK_AT_verzia_4_0!P317</f>
        <v>0</v>
      </c>
      <c r="Q317" s="52">
        <f>PSK_AT_verzia_4_0!Q317</f>
        <v>0</v>
      </c>
    </row>
    <row r="318" spans="1:17" ht="28" customHeight="1" x14ac:dyDescent="0.35">
      <c r="A318" s="229"/>
      <c r="B318" s="232"/>
      <c r="C318" s="60">
        <f>PSK_AT_verzia_4_0!C318</f>
        <v>0</v>
      </c>
      <c r="D318" s="60">
        <f>PSK_AT_verzia_4_0!D318</f>
        <v>0</v>
      </c>
      <c r="E318" s="60">
        <f>PSK_AT_verzia_4_0!E318</f>
        <v>0</v>
      </c>
      <c r="F318" s="61" t="s">
        <v>107</v>
      </c>
      <c r="G318" s="60">
        <f>PSK_AT_verzia_4_0!G318</f>
        <v>24000000</v>
      </c>
      <c r="H318" s="60">
        <f>PSK_AT_verzia_4_0!H318</f>
        <v>21000000</v>
      </c>
      <c r="I318" s="60">
        <f>PSK_AT_verzia_4_0!I318</f>
        <v>3000000</v>
      </c>
      <c r="J318" s="60">
        <f>PSK_AT_verzia_4_0!J318</f>
        <v>24000000</v>
      </c>
      <c r="K318" s="60">
        <f>PSK_AT_verzia_4_0!K318</f>
        <v>21000000</v>
      </c>
      <c r="L318" s="60">
        <f>PSK_AT_verzia_4_0!L318</f>
        <v>3000000</v>
      </c>
      <c r="M318" s="60">
        <f>PSK_AT_verzia_4_0!M318</f>
        <v>0</v>
      </c>
      <c r="N318" s="60">
        <f>PSK_AT_verzia_4_0!N318</f>
        <v>0</v>
      </c>
      <c r="O318" s="60">
        <f>PSK_AT_verzia_4_0!O318</f>
        <v>0</v>
      </c>
      <c r="P318" s="60">
        <f>PSK_AT_verzia_4_0!P318</f>
        <v>0</v>
      </c>
      <c r="Q318" s="60">
        <f>PSK_AT_verzia_4_0!Q318</f>
        <v>0</v>
      </c>
    </row>
    <row r="319" spans="1:17" ht="28" customHeight="1" x14ac:dyDescent="0.35">
      <c r="A319" s="229"/>
      <c r="B319" s="232"/>
      <c r="C319" s="199">
        <f>PSK_AT_verzia_4_0!C319</f>
        <v>0</v>
      </c>
      <c r="D319" s="200">
        <f>PSK_AT_verzia_4_0!D319</f>
        <v>0</v>
      </c>
      <c r="E319" s="200">
        <f>PSK_AT_verzia_4_0!E319</f>
        <v>0</v>
      </c>
      <c r="F319" s="66" t="s">
        <v>108</v>
      </c>
      <c r="G319" s="67">
        <f>PSK_AT_verzia_4_0!G319</f>
        <v>24000000</v>
      </c>
      <c r="H319" s="67">
        <f>PSK_AT_verzia_4_0!H319</f>
        <v>21000000</v>
      </c>
      <c r="I319" s="67">
        <f>PSK_AT_verzia_4_0!I319</f>
        <v>3000000</v>
      </c>
      <c r="J319" s="67">
        <f>PSK_AT_verzia_4_0!J319</f>
        <v>24000000</v>
      </c>
      <c r="K319" s="67">
        <f>PSK_AT_verzia_4_0!K319</f>
        <v>21000000</v>
      </c>
      <c r="L319" s="67">
        <f>PSK_AT_verzia_4_0!L319</f>
        <v>3000000</v>
      </c>
      <c r="M319" s="67">
        <f>PSK_AT_verzia_4_0!M319</f>
        <v>0</v>
      </c>
      <c r="N319" s="67">
        <f>PSK_AT_verzia_4_0!N319</f>
        <v>0</v>
      </c>
      <c r="O319" s="67">
        <f>PSK_AT_verzia_4_0!O319</f>
        <v>0</v>
      </c>
      <c r="P319" s="67">
        <f>PSK_AT_verzia_4_0!P319</f>
        <v>0</v>
      </c>
      <c r="Q319" s="67">
        <f>PSK_AT_verzia_4_0!Q319</f>
        <v>0</v>
      </c>
    </row>
    <row r="320" spans="1:17" ht="28" customHeight="1" x14ac:dyDescent="0.35">
      <c r="A320" s="229"/>
      <c r="B320" s="232"/>
      <c r="C320" s="69">
        <f>PSK_AT_verzia_4_0!C320</f>
        <v>7650000</v>
      </c>
      <c r="D320" s="60">
        <f>PSK_AT_verzia_4_0!D320</f>
        <v>0</v>
      </c>
      <c r="E320" s="60">
        <f>PSK_AT_verzia_4_0!E320</f>
        <v>0</v>
      </c>
      <c r="F320" s="61" t="s">
        <v>115</v>
      </c>
      <c r="G320" s="60">
        <f>PSK_AT_verzia_4_0!G320</f>
        <v>7650000</v>
      </c>
      <c r="H320" s="60">
        <f>PSK_AT_verzia_4_0!H320</f>
        <v>0</v>
      </c>
      <c r="I320" s="60">
        <f>PSK_AT_verzia_4_0!I320</f>
        <v>0</v>
      </c>
      <c r="J320" s="60">
        <f>PSK_AT_verzia_4_0!J320</f>
        <v>0</v>
      </c>
      <c r="K320" s="60">
        <f>PSK_AT_verzia_4_0!K320</f>
        <v>0</v>
      </c>
      <c r="L320" s="60">
        <f>PSK_AT_verzia_4_0!L320</f>
        <v>0</v>
      </c>
      <c r="M320" s="60">
        <f>PSK_AT_verzia_4_0!M320</f>
        <v>7650000</v>
      </c>
      <c r="N320" s="60">
        <f>PSK_AT_verzia_4_0!N320</f>
        <v>0</v>
      </c>
      <c r="O320" s="60">
        <f>PSK_AT_verzia_4_0!O320</f>
        <v>0</v>
      </c>
      <c r="P320" s="60">
        <f>PSK_AT_verzia_4_0!P320</f>
        <v>0</v>
      </c>
      <c r="Q320" s="60">
        <f>PSK_AT_verzia_4_0!Q320</f>
        <v>0</v>
      </c>
    </row>
    <row r="321" spans="1:17" ht="28" customHeight="1" x14ac:dyDescent="0.35">
      <c r="A321" s="229"/>
      <c r="B321" s="232"/>
      <c r="C321" s="199">
        <f>PSK_AT_verzia_4_0!C321</f>
        <v>0</v>
      </c>
      <c r="D321" s="200">
        <f>PSK_AT_verzia_4_0!D321</f>
        <v>0</v>
      </c>
      <c r="E321" s="200">
        <f>PSK_AT_verzia_4_0!E321</f>
        <v>0</v>
      </c>
      <c r="F321" s="66" t="s">
        <v>275</v>
      </c>
      <c r="G321" s="71">
        <f>PSK_AT_verzia_4_0!G321</f>
        <v>7650000</v>
      </c>
      <c r="H321" s="71">
        <f>PSK_AT_verzia_4_0!H321</f>
        <v>0</v>
      </c>
      <c r="I321" s="71">
        <f>PSK_AT_verzia_4_0!I321</f>
        <v>0</v>
      </c>
      <c r="J321" s="71">
        <f>PSK_AT_verzia_4_0!J321</f>
        <v>0</v>
      </c>
      <c r="K321" s="71">
        <f>PSK_AT_verzia_4_0!K321</f>
        <v>0</v>
      </c>
      <c r="L321" s="71">
        <f>PSK_AT_verzia_4_0!L321</f>
        <v>0</v>
      </c>
      <c r="M321" s="71">
        <f>PSK_AT_verzia_4_0!M321</f>
        <v>7650000</v>
      </c>
      <c r="N321" s="71">
        <f>PSK_AT_verzia_4_0!N321</f>
        <v>0</v>
      </c>
      <c r="O321" s="71">
        <f>PSK_AT_verzia_4_0!O321</f>
        <v>0</v>
      </c>
      <c r="P321" s="71">
        <f>PSK_AT_verzia_4_0!P321</f>
        <v>0</v>
      </c>
      <c r="Q321" s="71">
        <f>PSK_AT_verzia_4_0!Q321</f>
        <v>0</v>
      </c>
    </row>
    <row r="322" spans="1:17" ht="28" customHeight="1" x14ac:dyDescent="0.35">
      <c r="A322" s="230"/>
      <c r="B322" s="233"/>
      <c r="C322" s="199">
        <f>PSK_AT_verzia_4_0!C322</f>
        <v>0</v>
      </c>
      <c r="D322" s="200">
        <f>PSK_AT_verzia_4_0!D322</f>
        <v>0</v>
      </c>
      <c r="E322" s="200">
        <f>PSK_AT_verzia_4_0!E322</f>
        <v>0</v>
      </c>
      <c r="F322" s="66" t="s">
        <v>276</v>
      </c>
      <c r="G322" s="71">
        <f>PSK_AT_verzia_4_0!G322</f>
        <v>0</v>
      </c>
      <c r="H322" s="71">
        <f>PSK_AT_verzia_4_0!H322</f>
        <v>0</v>
      </c>
      <c r="I322" s="71">
        <f>PSK_AT_verzia_4_0!I322</f>
        <v>0</v>
      </c>
      <c r="J322" s="71">
        <f>PSK_AT_verzia_4_0!J322</f>
        <v>0</v>
      </c>
      <c r="K322" s="71">
        <f>PSK_AT_verzia_4_0!K322</f>
        <v>0</v>
      </c>
      <c r="L322" s="71">
        <f>PSK_AT_verzia_4_0!L322</f>
        <v>0</v>
      </c>
      <c r="M322" s="71">
        <f>PSK_AT_verzia_4_0!M322</f>
        <v>0</v>
      </c>
      <c r="N322" s="71">
        <f>PSK_AT_verzia_4_0!N322</f>
        <v>0</v>
      </c>
      <c r="O322" s="71">
        <f>PSK_AT_verzia_4_0!O322</f>
        <v>0</v>
      </c>
      <c r="P322" s="71">
        <f>PSK_AT_verzia_4_0!P322</f>
        <v>0</v>
      </c>
      <c r="Q322" s="71">
        <f>PSK_AT_verzia_4_0!Q322</f>
        <v>0</v>
      </c>
    </row>
    <row r="323" spans="1:17" ht="28" customHeight="1" x14ac:dyDescent="0.35">
      <c r="A323" s="45" t="s">
        <v>791</v>
      </c>
      <c r="B323" s="46" t="s">
        <v>794</v>
      </c>
      <c r="C323" s="47">
        <f>PSK_AT_verzia_4_0!C323</f>
        <v>0</v>
      </c>
      <c r="D323" s="47">
        <f>PSK_AT_verzia_4_0!D323</f>
        <v>0</v>
      </c>
      <c r="E323" s="47">
        <f>PSK_AT_verzia_4_0!E323</f>
        <v>0</v>
      </c>
      <c r="F323" s="49"/>
      <c r="G323" s="48">
        <f>PSK_AT_verzia_4_0!G323</f>
        <v>19500000</v>
      </c>
      <c r="H323" s="48">
        <f>PSK_AT_verzia_4_0!H323</f>
        <v>11303663</v>
      </c>
      <c r="I323" s="48">
        <f>PSK_AT_verzia_4_0!I323</f>
        <v>8196337</v>
      </c>
      <c r="J323" s="48">
        <f>PSK_AT_verzia_4_0!J323</f>
        <v>19500000</v>
      </c>
      <c r="K323" s="48">
        <f>PSK_AT_verzia_4_0!K323</f>
        <v>11303663</v>
      </c>
      <c r="L323" s="48">
        <f>PSK_AT_verzia_4_0!L323</f>
        <v>8196337</v>
      </c>
      <c r="M323" s="48">
        <f>PSK_AT_verzia_4_0!M323</f>
        <v>0</v>
      </c>
      <c r="N323" s="48">
        <f>PSK_AT_verzia_4_0!N323</f>
        <v>0</v>
      </c>
      <c r="O323" s="48">
        <f>PSK_AT_verzia_4_0!O323</f>
        <v>0</v>
      </c>
      <c r="P323" s="48">
        <f>PSK_AT_verzia_4_0!P323</f>
        <v>0</v>
      </c>
      <c r="Q323" s="48">
        <f>PSK_AT_verzia_4_0!Q323</f>
        <v>0</v>
      </c>
    </row>
    <row r="324" spans="1:17" ht="48" customHeight="1" x14ac:dyDescent="0.35">
      <c r="A324" s="228" t="s">
        <v>792</v>
      </c>
      <c r="B324" s="259" t="s">
        <v>809</v>
      </c>
      <c r="C324" s="52">
        <f>PSK_AT_verzia_4_0!C324</f>
        <v>0</v>
      </c>
      <c r="D324" s="52">
        <f>PSK_AT_verzia_4_0!D324</f>
        <v>0</v>
      </c>
      <c r="E324" s="52">
        <f>PSK_AT_verzia_4_0!E324</f>
        <v>0</v>
      </c>
      <c r="F324" s="54" t="s">
        <v>793</v>
      </c>
      <c r="G324" s="52">
        <f>PSK_AT_verzia_4_0!G324</f>
        <v>19500000</v>
      </c>
      <c r="H324" s="52">
        <f>PSK_AT_verzia_4_0!H324</f>
        <v>11303663</v>
      </c>
      <c r="I324" s="52">
        <f>PSK_AT_verzia_4_0!I324</f>
        <v>8196337</v>
      </c>
      <c r="J324" s="52">
        <f>PSK_AT_verzia_4_0!J324</f>
        <v>19500000</v>
      </c>
      <c r="K324" s="52">
        <f>PSK_AT_verzia_4_0!K324</f>
        <v>11303663</v>
      </c>
      <c r="L324" s="52">
        <f>PSK_AT_verzia_4_0!L324</f>
        <v>8196337</v>
      </c>
      <c r="M324" s="52">
        <f>PSK_AT_verzia_4_0!M324</f>
        <v>0</v>
      </c>
      <c r="N324" s="52">
        <f>PSK_AT_verzia_4_0!N324</f>
        <v>0</v>
      </c>
      <c r="O324" s="52">
        <f>PSK_AT_verzia_4_0!O324</f>
        <v>0</v>
      </c>
      <c r="P324" s="52">
        <f>PSK_AT_verzia_4_0!P324</f>
        <v>0</v>
      </c>
      <c r="Q324" s="52">
        <f>PSK_AT_verzia_4_0!Q324</f>
        <v>0</v>
      </c>
    </row>
    <row r="325" spans="1:17" ht="28" customHeight="1" x14ac:dyDescent="0.35">
      <c r="A325" s="229"/>
      <c r="B325" s="260"/>
      <c r="C325" s="60">
        <f>PSK_AT_verzia_4_0!C325</f>
        <v>0</v>
      </c>
      <c r="D325" s="60">
        <f>PSK_AT_verzia_4_0!D325</f>
        <v>0</v>
      </c>
      <c r="E325" s="60">
        <f>PSK_AT_verzia_4_0!E325</f>
        <v>0</v>
      </c>
      <c r="F325" s="61" t="s">
        <v>107</v>
      </c>
      <c r="G325" s="60">
        <f>PSK_AT_verzia_4_0!G325</f>
        <v>19500000</v>
      </c>
      <c r="H325" s="60">
        <f>PSK_AT_verzia_4_0!H325</f>
        <v>11303663</v>
      </c>
      <c r="I325" s="60">
        <f>PSK_AT_verzia_4_0!I325</f>
        <v>8196337</v>
      </c>
      <c r="J325" s="60">
        <f>PSK_AT_verzia_4_0!J325</f>
        <v>19500000</v>
      </c>
      <c r="K325" s="60">
        <f>PSK_AT_verzia_4_0!K325</f>
        <v>11303663</v>
      </c>
      <c r="L325" s="60">
        <f>PSK_AT_verzia_4_0!L325</f>
        <v>8196337</v>
      </c>
      <c r="M325" s="60">
        <f>PSK_AT_verzia_4_0!M325</f>
        <v>0</v>
      </c>
      <c r="N325" s="60">
        <f>PSK_AT_verzia_4_0!N325</f>
        <v>0</v>
      </c>
      <c r="O325" s="60">
        <f>PSK_AT_verzia_4_0!O325</f>
        <v>0</v>
      </c>
      <c r="P325" s="60">
        <f>PSK_AT_verzia_4_0!P325</f>
        <v>0</v>
      </c>
      <c r="Q325" s="60">
        <f>PSK_AT_verzia_4_0!Q325</f>
        <v>0</v>
      </c>
    </row>
    <row r="326" spans="1:17" ht="28" customHeight="1" x14ac:dyDescent="0.35">
      <c r="A326" s="230"/>
      <c r="B326" s="261"/>
      <c r="C326" s="200">
        <f>PSK_AT_verzia_4_0!C326</f>
        <v>0</v>
      </c>
      <c r="D326" s="200">
        <f>PSK_AT_verzia_4_0!D326</f>
        <v>0</v>
      </c>
      <c r="E326" s="200">
        <f>PSK_AT_verzia_4_0!E326</f>
        <v>0</v>
      </c>
      <c r="F326" s="66" t="s">
        <v>108</v>
      </c>
      <c r="G326" s="67">
        <f>PSK_AT_verzia_4_0!G326</f>
        <v>19500000</v>
      </c>
      <c r="H326" s="67">
        <f>PSK_AT_verzia_4_0!H326</f>
        <v>11303663</v>
      </c>
      <c r="I326" s="67">
        <f>PSK_AT_verzia_4_0!I326</f>
        <v>8196337</v>
      </c>
      <c r="J326" s="67">
        <f>PSK_AT_verzia_4_0!J326</f>
        <v>19500000</v>
      </c>
      <c r="K326" s="67">
        <f>PSK_AT_verzia_4_0!K326</f>
        <v>11303663</v>
      </c>
      <c r="L326" s="67">
        <f>PSK_AT_verzia_4_0!L326</f>
        <v>8196337</v>
      </c>
      <c r="M326" s="67">
        <f>PSK_AT_verzia_4_0!M326</f>
        <v>0</v>
      </c>
      <c r="N326" s="67">
        <f>PSK_AT_verzia_4_0!N326</f>
        <v>0</v>
      </c>
      <c r="O326" s="67">
        <f>PSK_AT_verzia_4_0!O326</f>
        <v>0</v>
      </c>
      <c r="P326" s="67">
        <f>PSK_AT_verzia_4_0!P326</f>
        <v>0</v>
      </c>
      <c r="Q326" s="67">
        <f>PSK_AT_verzia_4_0!Q326</f>
        <v>0</v>
      </c>
    </row>
    <row r="327" spans="1:17" s="111" customFormat="1" ht="28.5" x14ac:dyDescent="0.35">
      <c r="A327" s="39" t="s">
        <v>283</v>
      </c>
      <c r="B327" s="40" t="s">
        <v>284</v>
      </c>
      <c r="C327" s="41">
        <f>PSK_AT_verzia_4_0!C327-PSK_AT_verzia_3_5!C294</f>
        <v>9407877</v>
      </c>
      <c r="D327" s="41">
        <f>PSK_AT_verzia_4_0!D327-PSK_AT_verzia_3_5!D294</f>
        <v>0</v>
      </c>
      <c r="E327" s="41">
        <f>PSK_AT_verzia_4_0!E327-PSK_AT_verzia_3_5!E294</f>
        <v>0</v>
      </c>
      <c r="F327" s="42"/>
      <c r="G327" s="42">
        <f>PSK_AT_verzia_4_0!G327-PSK_AT_verzia_3_5!G294</f>
        <v>520678329</v>
      </c>
      <c r="H327" s="42">
        <f>PSK_AT_verzia_4_0!H327-PSK_AT_verzia_3_5!H294</f>
        <v>483010221</v>
      </c>
      <c r="I327" s="42">
        <f>PSK_AT_verzia_4_0!I327-PSK_AT_verzia_3_5!I294</f>
        <v>7468108</v>
      </c>
      <c r="J327" s="42">
        <f>PSK_AT_verzia_4_0!J327-PSK_AT_verzia_3_5!J294</f>
        <v>490478329</v>
      </c>
      <c r="K327" s="42">
        <f>PSK_AT_verzia_4_0!K327-PSK_AT_verzia_3_5!K294</f>
        <v>483010221</v>
      </c>
      <c r="L327" s="42">
        <f>PSK_AT_verzia_4_0!L327-PSK_AT_verzia_3_5!L294</f>
        <v>7468108</v>
      </c>
      <c r="M327" s="42">
        <f>PSK_AT_verzia_4_0!M327-PSK_AT_verzia_3_5!M294</f>
        <v>30200000</v>
      </c>
      <c r="N327" s="42">
        <f>PSK_AT_verzia_4_0!N327-PSK_AT_verzia_3_5!N294</f>
        <v>0</v>
      </c>
      <c r="O327" s="42">
        <f>PSK_AT_verzia_4_0!O327-PSK_AT_verzia_3_5!O294</f>
        <v>0</v>
      </c>
      <c r="P327" s="42">
        <f>PSK_AT_verzia_4_0!P327-PSK_AT_verzia_3_5!P294</f>
        <v>0</v>
      </c>
      <c r="Q327" s="42">
        <f>PSK_AT_verzia_4_0!Q327-PSK_AT_verzia_3_5!Q294</f>
        <v>0</v>
      </c>
    </row>
    <row r="328" spans="1:17" s="111" customFormat="1" ht="28.5" x14ac:dyDescent="0.35">
      <c r="A328" s="45" t="s">
        <v>285</v>
      </c>
      <c r="B328" s="46" t="s">
        <v>286</v>
      </c>
      <c r="C328" s="47">
        <f>PSK_AT_verzia_4_0!C328-PSK_AT_verzia_3_5!C295</f>
        <v>9407877</v>
      </c>
      <c r="D328" s="47">
        <f>PSK_AT_verzia_4_0!D328-PSK_AT_verzia_3_5!D295</f>
        <v>0</v>
      </c>
      <c r="E328" s="47">
        <f>PSK_AT_verzia_4_0!E328-PSK_AT_verzia_3_5!E295</f>
        <v>0</v>
      </c>
      <c r="F328" s="49"/>
      <c r="G328" s="48">
        <f>PSK_AT_verzia_4_0!G328-PSK_AT_verzia_3_5!G295</f>
        <v>1333076</v>
      </c>
      <c r="H328" s="48">
        <f>PSK_AT_verzia_4_0!H328-PSK_AT_verzia_3_5!H295</f>
        <v>18333076</v>
      </c>
      <c r="I328" s="48">
        <f>PSK_AT_verzia_4_0!I328-PSK_AT_verzia_3_5!I295</f>
        <v>0</v>
      </c>
      <c r="J328" s="48">
        <f>PSK_AT_verzia_4_0!J328-PSK_AT_verzia_3_5!J295</f>
        <v>18333076</v>
      </c>
      <c r="K328" s="48">
        <f>PSK_AT_verzia_4_0!K328-PSK_AT_verzia_3_5!K295</f>
        <v>18333076</v>
      </c>
      <c r="L328" s="48">
        <f>PSK_AT_verzia_4_0!L328-PSK_AT_verzia_3_5!L295</f>
        <v>0</v>
      </c>
      <c r="M328" s="48">
        <f>PSK_AT_verzia_4_0!M328-PSK_AT_verzia_3_5!M295</f>
        <v>-17000000</v>
      </c>
      <c r="N328" s="48">
        <f>PSK_AT_verzia_4_0!N328-PSK_AT_verzia_3_5!N295</f>
        <v>0</v>
      </c>
      <c r="O328" s="48">
        <f>PSK_AT_verzia_4_0!O328-PSK_AT_verzia_3_5!O295</f>
        <v>0</v>
      </c>
      <c r="P328" s="48">
        <f>PSK_AT_verzia_4_0!P328-PSK_AT_verzia_3_5!P295</f>
        <v>0</v>
      </c>
      <c r="Q328" s="48">
        <f>PSK_AT_verzia_4_0!Q328-PSK_AT_verzia_3_5!Q295</f>
        <v>0</v>
      </c>
    </row>
    <row r="329" spans="1:17" ht="52" x14ac:dyDescent="0.35">
      <c r="A329" s="87" t="s">
        <v>287</v>
      </c>
      <c r="B329" s="88" t="s">
        <v>288</v>
      </c>
      <c r="C329" s="52">
        <f>PSK_AT_verzia_4_0!C329-PSK_AT_verzia_3_5!C296</f>
        <v>0</v>
      </c>
      <c r="D329" s="52">
        <f>PSK_AT_verzia_4_0!D329-PSK_AT_verzia_3_5!D296</f>
        <v>0</v>
      </c>
      <c r="E329" s="52">
        <f>PSK_AT_verzia_4_0!E329-PSK_AT_verzia_3_5!E296</f>
        <v>0</v>
      </c>
      <c r="F329" s="54" t="s">
        <v>289</v>
      </c>
      <c r="G329" s="52">
        <f>PSK_AT_verzia_4_0!G329-PSK_AT_verzia_3_5!G296</f>
        <v>-17000000</v>
      </c>
      <c r="H329" s="52">
        <f>PSK_AT_verzia_4_0!H329-PSK_AT_verzia_3_5!H296</f>
        <v>0</v>
      </c>
      <c r="I329" s="52">
        <f>PSK_AT_verzia_4_0!I329-PSK_AT_verzia_3_5!I296</f>
        <v>0</v>
      </c>
      <c r="J329" s="52">
        <f>PSK_AT_verzia_4_0!J329-PSK_AT_verzia_3_5!J296</f>
        <v>0</v>
      </c>
      <c r="K329" s="52">
        <f>PSK_AT_verzia_4_0!K329-PSK_AT_verzia_3_5!K296</f>
        <v>0</v>
      </c>
      <c r="L329" s="52">
        <f>PSK_AT_verzia_4_0!L329-PSK_AT_verzia_3_5!L296</f>
        <v>0</v>
      </c>
      <c r="M329" s="52">
        <f>PSK_AT_verzia_4_0!M329-PSK_AT_verzia_3_5!M296</f>
        <v>-17000000</v>
      </c>
      <c r="N329" s="52">
        <f>PSK_AT_verzia_4_0!N329-PSK_AT_verzia_3_5!N296</f>
        <v>0</v>
      </c>
      <c r="O329" s="52">
        <f>PSK_AT_verzia_4_0!O329-PSK_AT_verzia_3_5!O296</f>
        <v>0</v>
      </c>
      <c r="P329" s="52">
        <f>PSK_AT_verzia_4_0!P329-PSK_AT_verzia_3_5!P296</f>
        <v>0</v>
      </c>
      <c r="Q329" s="52">
        <f>PSK_AT_verzia_4_0!Q329-PSK_AT_verzia_3_5!Q296</f>
        <v>0</v>
      </c>
    </row>
    <row r="330" spans="1:17" ht="28" customHeight="1" x14ac:dyDescent="0.35">
      <c r="A330" s="252" t="s">
        <v>290</v>
      </c>
      <c r="B330" s="251" t="s">
        <v>291</v>
      </c>
      <c r="C330" s="57">
        <f>PSK_AT_verzia_4_0!C330-PSK_AT_verzia_3_5!C297</f>
        <v>0</v>
      </c>
      <c r="D330" s="57">
        <f>PSK_AT_verzia_4_0!D330-PSK_AT_verzia_3_5!D297</f>
        <v>0</v>
      </c>
      <c r="E330" s="57">
        <f>PSK_AT_verzia_4_0!E330-PSK_AT_verzia_3_5!E297</f>
        <v>0</v>
      </c>
      <c r="F330" s="59" t="s">
        <v>292</v>
      </c>
      <c r="G330" s="58">
        <f>PSK_AT_verzia_4_0!G330-PSK_AT_verzia_3_5!G297</f>
        <v>0</v>
      </c>
      <c r="H330" s="58">
        <f>PSK_AT_verzia_4_0!H330-PSK_AT_verzia_3_5!H297</f>
        <v>0</v>
      </c>
      <c r="I330" s="58">
        <f>PSK_AT_verzia_4_0!I330-PSK_AT_verzia_3_5!I297</f>
        <v>0</v>
      </c>
      <c r="J330" s="58">
        <f>PSK_AT_verzia_4_0!J330-PSK_AT_verzia_3_5!J297</f>
        <v>0</v>
      </c>
      <c r="K330" s="58">
        <f>PSK_AT_verzia_4_0!K330-PSK_AT_verzia_3_5!K297</f>
        <v>0</v>
      </c>
      <c r="L330" s="58">
        <f>PSK_AT_verzia_4_0!L330-PSK_AT_verzia_3_5!L297</f>
        <v>0</v>
      </c>
      <c r="M330" s="58">
        <f>PSK_AT_verzia_4_0!M330-PSK_AT_verzia_3_5!M297</f>
        <v>0</v>
      </c>
      <c r="N330" s="58">
        <f>PSK_AT_verzia_4_0!N330-PSK_AT_verzia_3_5!N297</f>
        <v>0</v>
      </c>
      <c r="O330" s="58">
        <f>PSK_AT_verzia_4_0!O330-PSK_AT_verzia_3_5!O297</f>
        <v>0</v>
      </c>
      <c r="P330" s="58">
        <f>PSK_AT_verzia_4_0!P330-PSK_AT_verzia_3_5!P297</f>
        <v>0</v>
      </c>
      <c r="Q330" s="58">
        <f>PSK_AT_verzia_4_0!Q330-PSK_AT_verzia_3_5!Q297</f>
        <v>0</v>
      </c>
    </row>
    <row r="331" spans="1:17" ht="28" customHeight="1" x14ac:dyDescent="0.35">
      <c r="A331" s="252"/>
      <c r="B331" s="251"/>
      <c r="C331" s="60">
        <f>PSK_AT_verzia_4_0!C331-PSK_AT_verzia_3_5!C298</f>
        <v>0</v>
      </c>
      <c r="D331" s="60">
        <f>PSK_AT_verzia_4_0!D331-PSK_AT_verzia_3_5!D298</f>
        <v>0</v>
      </c>
      <c r="E331" s="60">
        <f>PSK_AT_verzia_4_0!E331-PSK_AT_verzia_3_5!E298</f>
        <v>0</v>
      </c>
      <c r="F331" s="61" t="s">
        <v>115</v>
      </c>
      <c r="G331" s="60">
        <f>PSK_AT_verzia_4_0!G331-PSK_AT_verzia_3_5!G298</f>
        <v>0</v>
      </c>
      <c r="H331" s="60">
        <f>PSK_AT_verzia_4_0!H331-PSK_AT_verzia_3_5!H298</f>
        <v>0</v>
      </c>
      <c r="I331" s="60">
        <f>PSK_AT_verzia_4_0!I331-PSK_AT_verzia_3_5!I298</f>
        <v>0</v>
      </c>
      <c r="J331" s="60">
        <f>PSK_AT_verzia_4_0!J331-PSK_AT_verzia_3_5!J298</f>
        <v>0</v>
      </c>
      <c r="K331" s="60">
        <f>PSK_AT_verzia_4_0!K331-PSK_AT_verzia_3_5!K298</f>
        <v>0</v>
      </c>
      <c r="L331" s="60">
        <f>PSK_AT_verzia_4_0!L331-PSK_AT_verzia_3_5!L298</f>
        <v>0</v>
      </c>
      <c r="M331" s="60">
        <f>PSK_AT_verzia_4_0!M331-PSK_AT_verzia_3_5!M298</f>
        <v>0</v>
      </c>
      <c r="N331" s="60">
        <f>PSK_AT_verzia_4_0!N331-PSK_AT_verzia_3_5!N298</f>
        <v>0</v>
      </c>
      <c r="O331" s="60">
        <f>PSK_AT_verzia_4_0!O331-PSK_AT_verzia_3_5!O298</f>
        <v>0</v>
      </c>
      <c r="P331" s="60">
        <f>PSK_AT_verzia_4_0!P331-PSK_AT_verzia_3_5!P298</f>
        <v>0</v>
      </c>
      <c r="Q331" s="60">
        <f>PSK_AT_verzia_4_0!Q331-PSK_AT_verzia_3_5!Q298</f>
        <v>0</v>
      </c>
    </row>
    <row r="332" spans="1:17" ht="28" customHeight="1" x14ac:dyDescent="0.35">
      <c r="A332" s="252"/>
      <c r="B332" s="251"/>
      <c r="C332" s="200">
        <f>PSK_AT_verzia_4_0!C332-PSK_AT_verzia_3_5!C299</f>
        <v>0</v>
      </c>
      <c r="D332" s="200">
        <f>PSK_AT_verzia_4_0!D332-PSK_AT_verzia_3_5!D299</f>
        <v>0</v>
      </c>
      <c r="E332" s="200">
        <f>PSK_AT_verzia_4_0!E332-PSK_AT_verzia_3_5!E299</f>
        <v>0</v>
      </c>
      <c r="F332" s="66" t="s">
        <v>116</v>
      </c>
      <c r="G332" s="67">
        <f>PSK_AT_verzia_4_0!G332-PSK_AT_verzia_3_5!G299</f>
        <v>0</v>
      </c>
      <c r="H332" s="67">
        <f>PSK_AT_verzia_4_0!H332-PSK_AT_verzia_3_5!H299</f>
        <v>0</v>
      </c>
      <c r="I332" s="67">
        <f>PSK_AT_verzia_4_0!I332-PSK_AT_verzia_3_5!I299</f>
        <v>0</v>
      </c>
      <c r="J332" s="67">
        <f>PSK_AT_verzia_4_0!J332-PSK_AT_verzia_3_5!J299</f>
        <v>0</v>
      </c>
      <c r="K332" s="67">
        <f>PSK_AT_verzia_4_0!K332-PSK_AT_verzia_3_5!K299</f>
        <v>0</v>
      </c>
      <c r="L332" s="67">
        <f>PSK_AT_verzia_4_0!L332-PSK_AT_verzia_3_5!L299</f>
        <v>0</v>
      </c>
      <c r="M332" s="67">
        <f>PSK_AT_verzia_4_0!M332-PSK_AT_verzia_3_5!M299</f>
        <v>0</v>
      </c>
      <c r="N332" s="67">
        <f>PSK_AT_verzia_4_0!N332-PSK_AT_verzia_3_5!N299</f>
        <v>0</v>
      </c>
      <c r="O332" s="67">
        <f>PSK_AT_verzia_4_0!O332-PSK_AT_verzia_3_5!O299</f>
        <v>0</v>
      </c>
      <c r="P332" s="67">
        <f>PSK_AT_verzia_4_0!P332-PSK_AT_verzia_3_5!P299</f>
        <v>0</v>
      </c>
      <c r="Q332" s="67">
        <f>PSK_AT_verzia_4_0!Q332-PSK_AT_verzia_3_5!Q299</f>
        <v>0</v>
      </c>
    </row>
    <row r="333" spans="1:17" ht="28" customHeight="1" x14ac:dyDescent="0.35">
      <c r="A333" s="250" t="s">
        <v>293</v>
      </c>
      <c r="B333" s="251" t="s">
        <v>294</v>
      </c>
      <c r="C333" s="57">
        <f>PSK_AT_verzia_4_0!C333-PSK_AT_verzia_3_5!C300</f>
        <v>0</v>
      </c>
      <c r="D333" s="57">
        <f>PSK_AT_verzia_4_0!D333-PSK_AT_verzia_3_5!D300</f>
        <v>0</v>
      </c>
      <c r="E333" s="57">
        <f>PSK_AT_verzia_4_0!E333-PSK_AT_verzia_3_5!E300</f>
        <v>-12000000</v>
      </c>
      <c r="F333" s="59" t="s">
        <v>295</v>
      </c>
      <c r="G333" s="58">
        <f>PSK_AT_verzia_4_0!G333-PSK_AT_verzia_3_5!G300</f>
        <v>-29000000</v>
      </c>
      <c r="H333" s="58">
        <f>PSK_AT_verzia_4_0!H333-PSK_AT_verzia_3_5!H300</f>
        <v>0</v>
      </c>
      <c r="I333" s="58">
        <f>PSK_AT_verzia_4_0!I333-PSK_AT_verzia_3_5!I300</f>
        <v>0</v>
      </c>
      <c r="J333" s="58">
        <f>PSK_AT_verzia_4_0!J333-PSK_AT_verzia_3_5!J300</f>
        <v>0</v>
      </c>
      <c r="K333" s="58">
        <f>PSK_AT_verzia_4_0!K333-PSK_AT_verzia_3_5!K300</f>
        <v>0</v>
      </c>
      <c r="L333" s="58">
        <f>PSK_AT_verzia_4_0!L333-PSK_AT_verzia_3_5!L300</f>
        <v>0</v>
      </c>
      <c r="M333" s="58">
        <f>PSK_AT_verzia_4_0!M333-PSK_AT_verzia_3_5!M300</f>
        <v>-29000000</v>
      </c>
      <c r="N333" s="58">
        <f>PSK_AT_verzia_4_0!N333-PSK_AT_verzia_3_5!N300</f>
        <v>0</v>
      </c>
      <c r="O333" s="58">
        <f>PSK_AT_verzia_4_0!O333-PSK_AT_verzia_3_5!O300</f>
        <v>0</v>
      </c>
      <c r="P333" s="58">
        <f>PSK_AT_verzia_4_0!P333-PSK_AT_verzia_3_5!P300</f>
        <v>0</v>
      </c>
      <c r="Q333" s="58">
        <f>PSK_AT_verzia_4_0!Q333-PSK_AT_verzia_3_5!Q300</f>
        <v>0</v>
      </c>
    </row>
    <row r="334" spans="1:17" ht="28" customHeight="1" x14ac:dyDescent="0.35">
      <c r="A334" s="250"/>
      <c r="B334" s="251"/>
      <c r="C334" s="60">
        <f>PSK_AT_verzia_4_0!C334-PSK_AT_verzia_3_5!C301</f>
        <v>0</v>
      </c>
      <c r="D334" s="60">
        <f>PSK_AT_verzia_4_0!D334-PSK_AT_verzia_3_5!D301</f>
        <v>0</v>
      </c>
      <c r="E334" s="72">
        <f>PSK_AT_verzia_4_0!E334-PSK_AT_verzia_3_5!E301</f>
        <v>-12000000</v>
      </c>
      <c r="F334" s="61" t="s">
        <v>115</v>
      </c>
      <c r="G334" s="60">
        <f>PSK_AT_verzia_4_0!G334-PSK_AT_verzia_3_5!G301</f>
        <v>-29000000</v>
      </c>
      <c r="H334" s="60">
        <f>PSK_AT_verzia_4_0!H334-PSK_AT_verzia_3_5!H301</f>
        <v>0</v>
      </c>
      <c r="I334" s="60">
        <f>PSK_AT_verzia_4_0!I334-PSK_AT_verzia_3_5!I301</f>
        <v>0</v>
      </c>
      <c r="J334" s="60">
        <f>PSK_AT_verzia_4_0!J334-PSK_AT_verzia_3_5!J301</f>
        <v>0</v>
      </c>
      <c r="K334" s="60">
        <f>PSK_AT_verzia_4_0!K334-PSK_AT_verzia_3_5!K301</f>
        <v>0</v>
      </c>
      <c r="L334" s="60">
        <f>PSK_AT_verzia_4_0!L334-PSK_AT_verzia_3_5!L301</f>
        <v>0</v>
      </c>
      <c r="M334" s="60">
        <f>PSK_AT_verzia_4_0!M334-PSK_AT_verzia_3_5!M301</f>
        <v>-29000000</v>
      </c>
      <c r="N334" s="60">
        <f>PSK_AT_verzia_4_0!N334-PSK_AT_verzia_3_5!N301</f>
        <v>0</v>
      </c>
      <c r="O334" s="60">
        <f>PSK_AT_verzia_4_0!O334-PSK_AT_verzia_3_5!O301</f>
        <v>0</v>
      </c>
      <c r="P334" s="60">
        <f>PSK_AT_verzia_4_0!P334-PSK_AT_verzia_3_5!P301</f>
        <v>0</v>
      </c>
      <c r="Q334" s="60">
        <f>PSK_AT_verzia_4_0!Q334-PSK_AT_verzia_3_5!Q301</f>
        <v>0</v>
      </c>
    </row>
    <row r="335" spans="1:17" ht="28" customHeight="1" x14ac:dyDescent="0.35">
      <c r="A335" s="250"/>
      <c r="B335" s="251"/>
      <c r="C335" s="200">
        <f>PSK_AT_verzia_4_0!C335-PSK_AT_verzia_3_5!C302</f>
        <v>0</v>
      </c>
      <c r="D335" s="200">
        <f>PSK_AT_verzia_4_0!D335-PSK_AT_verzia_3_5!D302</f>
        <v>0</v>
      </c>
      <c r="E335" s="200">
        <f>PSK_AT_verzia_4_0!E335-PSK_AT_verzia_3_5!E302</f>
        <v>0</v>
      </c>
      <c r="F335" s="66" t="s">
        <v>116</v>
      </c>
      <c r="G335" s="67">
        <f>PSK_AT_verzia_4_0!G335-PSK_AT_verzia_3_5!G302</f>
        <v>-17000000</v>
      </c>
      <c r="H335" s="67">
        <f>PSK_AT_verzia_4_0!H335-PSK_AT_verzia_3_5!H302</f>
        <v>0</v>
      </c>
      <c r="I335" s="67">
        <f>PSK_AT_verzia_4_0!I335-PSK_AT_verzia_3_5!I302</f>
        <v>0</v>
      </c>
      <c r="J335" s="67">
        <f>PSK_AT_verzia_4_0!J335-PSK_AT_verzia_3_5!J302</f>
        <v>0</v>
      </c>
      <c r="K335" s="67">
        <f>PSK_AT_verzia_4_0!K335-PSK_AT_verzia_3_5!K302</f>
        <v>0</v>
      </c>
      <c r="L335" s="67">
        <f>PSK_AT_verzia_4_0!L335-PSK_AT_verzia_3_5!L302</f>
        <v>0</v>
      </c>
      <c r="M335" s="67">
        <f>PSK_AT_verzia_4_0!M335-PSK_AT_verzia_3_5!M302</f>
        <v>-17000000</v>
      </c>
      <c r="N335" s="67">
        <f>PSK_AT_verzia_4_0!N335-PSK_AT_verzia_3_5!N302</f>
        <v>0</v>
      </c>
      <c r="O335" s="67">
        <f>PSK_AT_verzia_4_0!O335-PSK_AT_verzia_3_5!O302</f>
        <v>0</v>
      </c>
      <c r="P335" s="67">
        <f>PSK_AT_verzia_4_0!P335-PSK_AT_verzia_3_5!P302</f>
        <v>0</v>
      </c>
      <c r="Q335" s="67">
        <f>PSK_AT_verzia_4_0!Q335-PSK_AT_verzia_3_5!Q302</f>
        <v>0</v>
      </c>
    </row>
    <row r="336" spans="1:17" ht="28" customHeight="1" x14ac:dyDescent="0.35">
      <c r="A336" s="250"/>
      <c r="B336" s="251"/>
      <c r="C336" s="200">
        <f>PSK_AT_verzia_4_0!C336-PSK_AT_verzia_3_5!C303</f>
        <v>0</v>
      </c>
      <c r="D336" s="200">
        <f>PSK_AT_verzia_4_0!D336-PSK_AT_verzia_3_5!D303</f>
        <v>0</v>
      </c>
      <c r="E336" s="200">
        <f>PSK_AT_verzia_4_0!E336-PSK_AT_verzia_3_5!E303</f>
        <v>0</v>
      </c>
      <c r="F336" s="66" t="s">
        <v>117</v>
      </c>
      <c r="G336" s="74">
        <f>PSK_AT_verzia_4_0!G336-PSK_AT_verzia_3_5!G303</f>
        <v>-12000000</v>
      </c>
      <c r="H336" s="74">
        <f>PSK_AT_verzia_4_0!H336-PSK_AT_verzia_3_5!H303</f>
        <v>0</v>
      </c>
      <c r="I336" s="74">
        <f>PSK_AT_verzia_4_0!I336-PSK_AT_verzia_3_5!I303</f>
        <v>0</v>
      </c>
      <c r="J336" s="74">
        <f>PSK_AT_verzia_4_0!J336-PSK_AT_verzia_3_5!J303</f>
        <v>0</v>
      </c>
      <c r="K336" s="74">
        <f>PSK_AT_verzia_4_0!K336-PSK_AT_verzia_3_5!K303</f>
        <v>0</v>
      </c>
      <c r="L336" s="74">
        <f>PSK_AT_verzia_4_0!L336-PSK_AT_verzia_3_5!L303</f>
        <v>0</v>
      </c>
      <c r="M336" s="74">
        <f>PSK_AT_verzia_4_0!M336-PSK_AT_verzia_3_5!M303</f>
        <v>-12000000</v>
      </c>
      <c r="N336" s="74">
        <f>PSK_AT_verzia_4_0!N336-PSK_AT_verzia_3_5!N303</f>
        <v>0</v>
      </c>
      <c r="O336" s="74">
        <f>PSK_AT_verzia_4_0!O336-PSK_AT_verzia_3_5!O303</f>
        <v>0</v>
      </c>
      <c r="P336" s="74">
        <f>PSK_AT_verzia_4_0!P336-PSK_AT_verzia_3_5!P303</f>
        <v>0</v>
      </c>
      <c r="Q336" s="74">
        <f>PSK_AT_verzia_4_0!Q336-PSK_AT_verzia_3_5!Q303</f>
        <v>0</v>
      </c>
    </row>
    <row r="337" spans="1:17" ht="28" customHeight="1" x14ac:dyDescent="0.35">
      <c r="A337" s="256" t="s">
        <v>296</v>
      </c>
      <c r="B337" s="253" t="s">
        <v>297</v>
      </c>
      <c r="C337" s="57">
        <f>PSK_AT_verzia_4_0!C337-PSK_AT_verzia_3_5!C304</f>
        <v>0</v>
      </c>
      <c r="D337" s="57">
        <f>PSK_AT_verzia_4_0!D337-PSK_AT_verzia_3_5!D304</f>
        <v>0</v>
      </c>
      <c r="E337" s="57">
        <f>PSK_AT_verzia_4_0!E337-PSK_AT_verzia_3_5!E304</f>
        <v>12000000</v>
      </c>
      <c r="F337" s="59" t="s">
        <v>298</v>
      </c>
      <c r="G337" s="58">
        <f>PSK_AT_verzia_4_0!G337-PSK_AT_verzia_3_5!G304</f>
        <v>12000000</v>
      </c>
      <c r="H337" s="58">
        <f>PSK_AT_verzia_4_0!H337-PSK_AT_verzia_3_5!H304</f>
        <v>0</v>
      </c>
      <c r="I337" s="58">
        <f>PSK_AT_verzia_4_0!I337-PSK_AT_verzia_3_5!I304</f>
        <v>0</v>
      </c>
      <c r="J337" s="58">
        <f>PSK_AT_verzia_4_0!J337-PSK_AT_verzia_3_5!J304</f>
        <v>0</v>
      </c>
      <c r="K337" s="58">
        <f>PSK_AT_verzia_4_0!K337-PSK_AT_verzia_3_5!K304</f>
        <v>0</v>
      </c>
      <c r="L337" s="58">
        <f>PSK_AT_verzia_4_0!L337-PSK_AT_verzia_3_5!L304</f>
        <v>0</v>
      </c>
      <c r="M337" s="58">
        <f>PSK_AT_verzia_4_0!M337-PSK_AT_verzia_3_5!M304</f>
        <v>12000000</v>
      </c>
      <c r="N337" s="58">
        <f>PSK_AT_verzia_4_0!N337-PSK_AT_verzia_3_5!N304</f>
        <v>0</v>
      </c>
      <c r="O337" s="58">
        <f>PSK_AT_verzia_4_0!O337-PSK_AT_verzia_3_5!O304</f>
        <v>0</v>
      </c>
      <c r="P337" s="58">
        <f>PSK_AT_verzia_4_0!P337-PSK_AT_verzia_3_5!P304</f>
        <v>0</v>
      </c>
      <c r="Q337" s="58">
        <f>PSK_AT_verzia_4_0!Q337-PSK_AT_verzia_3_5!Q304</f>
        <v>0</v>
      </c>
    </row>
    <row r="338" spans="1:17" ht="28" customHeight="1" x14ac:dyDescent="0.35">
      <c r="A338" s="257"/>
      <c r="B338" s="254"/>
      <c r="C338" s="60">
        <f>PSK_AT_verzia_4_0!C338-PSK_AT_verzia_3_5!C305</f>
        <v>0</v>
      </c>
      <c r="D338" s="60">
        <f>PSK_AT_verzia_4_0!D338-PSK_AT_verzia_3_5!D305</f>
        <v>0</v>
      </c>
      <c r="E338" s="72">
        <f>PSK_AT_verzia_4_0!E338-PSK_AT_verzia_3_5!E305</f>
        <v>12000000</v>
      </c>
      <c r="F338" s="61" t="s">
        <v>115</v>
      </c>
      <c r="G338" s="60">
        <f>PSK_AT_verzia_4_0!G338-PSK_AT_verzia_3_5!G305</f>
        <v>12000000</v>
      </c>
      <c r="H338" s="60">
        <f>PSK_AT_verzia_4_0!H338-PSK_AT_verzia_3_5!H305</f>
        <v>0</v>
      </c>
      <c r="I338" s="60">
        <f>PSK_AT_verzia_4_0!I338-PSK_AT_verzia_3_5!I305</f>
        <v>0</v>
      </c>
      <c r="J338" s="60">
        <f>PSK_AT_verzia_4_0!J338-PSK_AT_verzia_3_5!J305</f>
        <v>0</v>
      </c>
      <c r="K338" s="60">
        <f>PSK_AT_verzia_4_0!K338-PSK_AT_verzia_3_5!K305</f>
        <v>0</v>
      </c>
      <c r="L338" s="60">
        <f>PSK_AT_verzia_4_0!L338-PSK_AT_verzia_3_5!L305</f>
        <v>0</v>
      </c>
      <c r="M338" s="60">
        <f>PSK_AT_verzia_4_0!M338-PSK_AT_verzia_3_5!M305</f>
        <v>12000000</v>
      </c>
      <c r="N338" s="60">
        <f>PSK_AT_verzia_4_0!N338-PSK_AT_verzia_3_5!N305</f>
        <v>0</v>
      </c>
      <c r="O338" s="60">
        <f>PSK_AT_verzia_4_0!O338-PSK_AT_verzia_3_5!O305</f>
        <v>0</v>
      </c>
      <c r="P338" s="60">
        <f>PSK_AT_verzia_4_0!P338-PSK_AT_verzia_3_5!P305</f>
        <v>0</v>
      </c>
      <c r="Q338" s="60">
        <f>PSK_AT_verzia_4_0!Q338-PSK_AT_verzia_3_5!Q305</f>
        <v>0</v>
      </c>
    </row>
    <row r="339" spans="1:17" ht="28" customHeight="1" x14ac:dyDescent="0.35">
      <c r="A339" s="257"/>
      <c r="B339" s="254"/>
      <c r="C339" s="200">
        <f>PSK_AT_verzia_4_0!C339-PSK_AT_verzia_3_5!C306</f>
        <v>0</v>
      </c>
      <c r="D339" s="200">
        <f>PSK_AT_verzia_4_0!D339-PSK_AT_verzia_3_5!D306</f>
        <v>0</v>
      </c>
      <c r="E339" s="200">
        <f>PSK_AT_verzia_4_0!E339-PSK_AT_verzia_3_5!E306</f>
        <v>0</v>
      </c>
      <c r="F339" s="66" t="s">
        <v>116</v>
      </c>
      <c r="G339" s="67">
        <f>PSK_AT_verzia_4_0!G339-PSK_AT_verzia_3_5!G306</f>
        <v>0</v>
      </c>
      <c r="H339" s="67">
        <f>PSK_AT_verzia_4_0!H339-PSK_AT_verzia_3_5!H306</f>
        <v>0</v>
      </c>
      <c r="I339" s="67">
        <f>PSK_AT_verzia_4_0!I339-PSK_AT_verzia_3_5!I306</f>
        <v>0</v>
      </c>
      <c r="J339" s="67">
        <f>PSK_AT_verzia_4_0!J339-PSK_AT_verzia_3_5!J306</f>
        <v>0</v>
      </c>
      <c r="K339" s="67">
        <f>PSK_AT_verzia_4_0!K339-PSK_AT_verzia_3_5!K306</f>
        <v>0</v>
      </c>
      <c r="L339" s="67">
        <f>PSK_AT_verzia_4_0!L339-PSK_AT_verzia_3_5!L306</f>
        <v>0</v>
      </c>
      <c r="M339" s="67">
        <f>PSK_AT_verzia_4_0!M339-PSK_AT_verzia_3_5!M306</f>
        <v>0</v>
      </c>
      <c r="N339" s="67">
        <f>PSK_AT_verzia_4_0!N339-PSK_AT_verzia_3_5!N306</f>
        <v>0</v>
      </c>
      <c r="O339" s="67">
        <f>PSK_AT_verzia_4_0!O339-PSK_AT_verzia_3_5!O306</f>
        <v>0</v>
      </c>
      <c r="P339" s="67">
        <f>PSK_AT_verzia_4_0!P339-PSK_AT_verzia_3_5!P306</f>
        <v>0</v>
      </c>
      <c r="Q339" s="67">
        <f>PSK_AT_verzia_4_0!Q339-PSK_AT_verzia_3_5!Q306</f>
        <v>0</v>
      </c>
    </row>
    <row r="340" spans="1:17" ht="28" customHeight="1" x14ac:dyDescent="0.35">
      <c r="A340" s="258"/>
      <c r="B340" s="255"/>
      <c r="C340" s="200"/>
      <c r="D340" s="200"/>
      <c r="E340" s="200"/>
      <c r="F340" s="66" t="s">
        <v>117</v>
      </c>
      <c r="G340" s="74">
        <f>PSK_AT_verzia_4_0!G340-PSK_AT_verzia_3_5!G307</f>
        <v>12000000</v>
      </c>
      <c r="H340" s="74">
        <f>PSK_AT_verzia_4_0!H340-PSK_AT_verzia_3_5!H307</f>
        <v>0</v>
      </c>
      <c r="I340" s="74">
        <f>PSK_AT_verzia_4_0!I340-PSK_AT_verzia_3_5!I307</f>
        <v>0</v>
      </c>
      <c r="J340" s="74">
        <f>PSK_AT_verzia_4_0!J340-PSK_AT_verzia_3_5!J307</f>
        <v>0</v>
      </c>
      <c r="K340" s="74">
        <f>PSK_AT_verzia_4_0!K340-PSK_AT_verzia_3_5!K307</f>
        <v>0</v>
      </c>
      <c r="L340" s="74">
        <f>PSK_AT_verzia_4_0!L340-PSK_AT_verzia_3_5!L307</f>
        <v>0</v>
      </c>
      <c r="M340" s="74">
        <f>PSK_AT_verzia_4_0!M340-PSK_AT_verzia_3_5!M307</f>
        <v>12000000</v>
      </c>
      <c r="N340" s="74">
        <f>PSK_AT_verzia_4_0!N340-PSK_AT_verzia_3_5!N307</f>
        <v>0</v>
      </c>
      <c r="O340" s="74">
        <f>PSK_AT_verzia_4_0!O340-PSK_AT_verzia_3_5!O307</f>
        <v>0</v>
      </c>
      <c r="P340" s="74">
        <f>PSK_AT_verzia_4_0!P340-PSK_AT_verzia_3_5!P307</f>
        <v>0</v>
      </c>
      <c r="Q340" s="74">
        <f>PSK_AT_verzia_4_0!Q340-PSK_AT_verzia_3_5!Q307</f>
        <v>0</v>
      </c>
    </row>
    <row r="341" spans="1:17" ht="52" x14ac:dyDescent="0.35">
      <c r="A341" s="87" t="s">
        <v>299</v>
      </c>
      <c r="B341" s="88" t="s">
        <v>300</v>
      </c>
      <c r="C341" s="52">
        <f>PSK_AT_verzia_4_0!C341-PSK_AT_verzia_3_5!C308</f>
        <v>9407877</v>
      </c>
      <c r="D341" s="52">
        <f>PSK_AT_verzia_4_0!D341-PSK_AT_verzia_3_5!D308</f>
        <v>0</v>
      </c>
      <c r="E341" s="52">
        <f>PSK_AT_verzia_4_0!E341-PSK_AT_verzia_3_5!E308</f>
        <v>0</v>
      </c>
      <c r="F341" s="54" t="s">
        <v>301</v>
      </c>
      <c r="G341" s="52">
        <f>PSK_AT_verzia_4_0!G341-PSK_AT_verzia_3_5!G308</f>
        <v>18333076</v>
      </c>
      <c r="H341" s="52">
        <f>PSK_AT_verzia_4_0!H341-PSK_AT_verzia_3_5!H308</f>
        <v>18333076</v>
      </c>
      <c r="I341" s="52">
        <f>PSK_AT_verzia_4_0!I341-PSK_AT_verzia_3_5!I308</f>
        <v>0</v>
      </c>
      <c r="J341" s="52">
        <f>PSK_AT_verzia_4_0!J341-PSK_AT_verzia_3_5!J308</f>
        <v>18333076</v>
      </c>
      <c r="K341" s="52">
        <f>PSK_AT_verzia_4_0!K341-PSK_AT_verzia_3_5!K308</f>
        <v>18333076</v>
      </c>
      <c r="L341" s="52">
        <f>PSK_AT_verzia_4_0!L341-PSK_AT_verzia_3_5!L308</f>
        <v>0</v>
      </c>
      <c r="M341" s="52">
        <f>PSK_AT_verzia_4_0!M341-PSK_AT_verzia_3_5!M308</f>
        <v>0</v>
      </c>
      <c r="N341" s="52">
        <f>PSK_AT_verzia_4_0!N341-PSK_AT_verzia_3_5!N308</f>
        <v>0</v>
      </c>
      <c r="O341" s="52">
        <f>PSK_AT_verzia_4_0!O341-PSK_AT_verzia_3_5!O308</f>
        <v>0</v>
      </c>
      <c r="P341" s="52">
        <f>PSK_AT_verzia_4_0!P341-PSK_AT_verzia_3_5!P308</f>
        <v>0</v>
      </c>
      <c r="Q341" s="52">
        <f>PSK_AT_verzia_4_0!Q341-PSK_AT_verzia_3_5!Q308</f>
        <v>0</v>
      </c>
    </row>
    <row r="342" spans="1:17" ht="75.650000000000006" customHeight="1" x14ac:dyDescent="0.35">
      <c r="A342" s="252" t="s">
        <v>302</v>
      </c>
      <c r="B342" s="251" t="s">
        <v>303</v>
      </c>
      <c r="C342" s="57">
        <f>PSK_AT_verzia_4_0!C342-PSK_AT_verzia_3_5!C309</f>
        <v>0</v>
      </c>
      <c r="D342" s="57">
        <f>PSK_AT_verzia_4_0!D342-PSK_AT_verzia_3_5!D309</f>
        <v>0</v>
      </c>
      <c r="E342" s="57">
        <f>PSK_AT_verzia_4_0!E342-PSK_AT_verzia_3_5!E309</f>
        <v>0</v>
      </c>
      <c r="F342" s="59" t="s">
        <v>304</v>
      </c>
      <c r="G342" s="58">
        <f>PSK_AT_verzia_4_0!G342-PSK_AT_verzia_3_5!G309</f>
        <v>0</v>
      </c>
      <c r="H342" s="58">
        <f>PSK_AT_verzia_4_0!H342-PSK_AT_verzia_3_5!H309</f>
        <v>0</v>
      </c>
      <c r="I342" s="58">
        <f>PSK_AT_verzia_4_0!I342-PSK_AT_verzia_3_5!I309</f>
        <v>0</v>
      </c>
      <c r="J342" s="58">
        <f>PSK_AT_verzia_4_0!J342-PSK_AT_verzia_3_5!J309</f>
        <v>0</v>
      </c>
      <c r="K342" s="58">
        <f>PSK_AT_verzia_4_0!K342-PSK_AT_verzia_3_5!K309</f>
        <v>0</v>
      </c>
      <c r="L342" s="58">
        <f>PSK_AT_verzia_4_0!L342-PSK_AT_verzia_3_5!L309</f>
        <v>0</v>
      </c>
      <c r="M342" s="58">
        <f>PSK_AT_verzia_4_0!M342-PSK_AT_verzia_3_5!M309</f>
        <v>0</v>
      </c>
      <c r="N342" s="58">
        <f>PSK_AT_verzia_4_0!N342-PSK_AT_verzia_3_5!N309</f>
        <v>0</v>
      </c>
      <c r="O342" s="58">
        <f>PSK_AT_verzia_4_0!O342-PSK_AT_verzia_3_5!O309</f>
        <v>0</v>
      </c>
      <c r="P342" s="58">
        <f>PSK_AT_verzia_4_0!P342-PSK_AT_verzia_3_5!P309</f>
        <v>0</v>
      </c>
      <c r="Q342" s="58">
        <f>PSK_AT_verzia_4_0!Q342-PSK_AT_verzia_3_5!Q309</f>
        <v>0</v>
      </c>
    </row>
    <row r="343" spans="1:17" ht="28" customHeight="1" x14ac:dyDescent="0.35">
      <c r="A343" s="252"/>
      <c r="B343" s="251"/>
      <c r="C343" s="60">
        <f>PSK_AT_verzia_4_0!C343-PSK_AT_verzia_3_5!C310</f>
        <v>0</v>
      </c>
      <c r="D343" s="60">
        <f>PSK_AT_verzia_4_0!D343-PSK_AT_verzia_3_5!D310</f>
        <v>0</v>
      </c>
      <c r="E343" s="60">
        <f>PSK_AT_verzia_4_0!E343-PSK_AT_verzia_3_5!E310</f>
        <v>0</v>
      </c>
      <c r="F343" s="61" t="s">
        <v>115</v>
      </c>
      <c r="G343" s="60">
        <f>PSK_AT_verzia_4_0!G343-PSK_AT_verzia_3_5!G310</f>
        <v>0</v>
      </c>
      <c r="H343" s="60">
        <f>PSK_AT_verzia_4_0!H343-PSK_AT_verzia_3_5!H310</f>
        <v>0</v>
      </c>
      <c r="I343" s="60">
        <f>PSK_AT_verzia_4_0!I343-PSK_AT_verzia_3_5!I310</f>
        <v>0</v>
      </c>
      <c r="J343" s="60">
        <f>PSK_AT_verzia_4_0!J343-PSK_AT_verzia_3_5!J310</f>
        <v>0</v>
      </c>
      <c r="K343" s="60">
        <f>PSK_AT_verzia_4_0!K343-PSK_AT_verzia_3_5!K310</f>
        <v>0</v>
      </c>
      <c r="L343" s="60">
        <f>PSK_AT_verzia_4_0!L343-PSK_AT_verzia_3_5!L310</f>
        <v>0</v>
      </c>
      <c r="M343" s="60">
        <f>PSK_AT_verzia_4_0!M343-PSK_AT_verzia_3_5!M310</f>
        <v>0</v>
      </c>
      <c r="N343" s="60">
        <f>PSK_AT_verzia_4_0!N343-PSK_AT_verzia_3_5!N310</f>
        <v>0</v>
      </c>
      <c r="O343" s="60">
        <f>PSK_AT_verzia_4_0!O343-PSK_AT_verzia_3_5!O310</f>
        <v>0</v>
      </c>
      <c r="P343" s="60">
        <f>PSK_AT_verzia_4_0!P343-PSK_AT_verzia_3_5!P310</f>
        <v>0</v>
      </c>
      <c r="Q343" s="60">
        <f>PSK_AT_verzia_4_0!Q343-PSK_AT_verzia_3_5!Q310</f>
        <v>0</v>
      </c>
    </row>
    <row r="344" spans="1:17" ht="28" customHeight="1" x14ac:dyDescent="0.35">
      <c r="A344" s="252"/>
      <c r="B344" s="251"/>
      <c r="C344" s="200">
        <f>PSK_AT_verzia_4_0!C344-PSK_AT_verzia_3_5!C311</f>
        <v>0</v>
      </c>
      <c r="D344" s="200">
        <f>PSK_AT_verzia_4_0!D344-PSK_AT_verzia_3_5!D311</f>
        <v>0</v>
      </c>
      <c r="E344" s="200">
        <f>PSK_AT_verzia_4_0!E344-PSK_AT_verzia_3_5!E311</f>
        <v>0</v>
      </c>
      <c r="F344" s="66" t="s">
        <v>116</v>
      </c>
      <c r="G344" s="67">
        <f>PSK_AT_verzia_4_0!G344-PSK_AT_verzia_3_5!G311</f>
        <v>0</v>
      </c>
      <c r="H344" s="67">
        <f>PSK_AT_verzia_4_0!H344-PSK_AT_verzia_3_5!H311</f>
        <v>0</v>
      </c>
      <c r="I344" s="67">
        <f>PSK_AT_verzia_4_0!I344-PSK_AT_verzia_3_5!I311</f>
        <v>0</v>
      </c>
      <c r="J344" s="67">
        <f>PSK_AT_verzia_4_0!J344-PSK_AT_verzia_3_5!J311</f>
        <v>0</v>
      </c>
      <c r="K344" s="67">
        <f>PSK_AT_verzia_4_0!K344-PSK_AT_verzia_3_5!K311</f>
        <v>0</v>
      </c>
      <c r="L344" s="67">
        <f>PSK_AT_verzia_4_0!L344-PSK_AT_verzia_3_5!L311</f>
        <v>0</v>
      </c>
      <c r="M344" s="67">
        <f>PSK_AT_verzia_4_0!M344-PSK_AT_verzia_3_5!M311</f>
        <v>0</v>
      </c>
      <c r="N344" s="67">
        <f>PSK_AT_verzia_4_0!N344-PSK_AT_verzia_3_5!N311</f>
        <v>0</v>
      </c>
      <c r="O344" s="67">
        <f>PSK_AT_verzia_4_0!O344-PSK_AT_verzia_3_5!O311</f>
        <v>0</v>
      </c>
      <c r="P344" s="67">
        <f>PSK_AT_verzia_4_0!P344-PSK_AT_verzia_3_5!P311</f>
        <v>0</v>
      </c>
      <c r="Q344" s="67">
        <f>PSK_AT_verzia_4_0!Q344-PSK_AT_verzia_3_5!Q311</f>
        <v>0</v>
      </c>
    </row>
    <row r="345" spans="1:17" ht="28" customHeight="1" x14ac:dyDescent="0.35">
      <c r="A345" s="250" t="s">
        <v>305</v>
      </c>
      <c r="B345" s="251" t="s">
        <v>306</v>
      </c>
      <c r="C345" s="57">
        <f>PSK_AT_verzia_4_0!C345-PSK_AT_verzia_3_5!C312</f>
        <v>0</v>
      </c>
      <c r="D345" s="57">
        <f>PSK_AT_verzia_4_0!D345-PSK_AT_verzia_3_5!D312</f>
        <v>0</v>
      </c>
      <c r="E345" s="57">
        <f>PSK_AT_verzia_4_0!E345-PSK_AT_verzia_3_5!E312</f>
        <v>0</v>
      </c>
      <c r="F345" s="59" t="s">
        <v>307</v>
      </c>
      <c r="G345" s="58">
        <f>PSK_AT_verzia_4_0!G345-PSK_AT_verzia_3_5!G312</f>
        <v>0</v>
      </c>
      <c r="H345" s="58">
        <f>PSK_AT_verzia_4_0!H345-PSK_AT_verzia_3_5!H312</f>
        <v>0</v>
      </c>
      <c r="I345" s="58">
        <f>PSK_AT_verzia_4_0!I345-PSK_AT_verzia_3_5!I312</f>
        <v>0</v>
      </c>
      <c r="J345" s="58">
        <f>PSK_AT_verzia_4_0!J345-PSK_AT_verzia_3_5!J312</f>
        <v>0</v>
      </c>
      <c r="K345" s="58">
        <f>PSK_AT_verzia_4_0!K345-PSK_AT_verzia_3_5!K312</f>
        <v>0</v>
      </c>
      <c r="L345" s="58">
        <f>PSK_AT_verzia_4_0!L345-PSK_AT_verzia_3_5!L312</f>
        <v>0</v>
      </c>
      <c r="M345" s="58">
        <f>PSK_AT_verzia_4_0!M345-PSK_AT_verzia_3_5!M312</f>
        <v>0</v>
      </c>
      <c r="N345" s="58">
        <f>PSK_AT_verzia_4_0!N345-PSK_AT_verzia_3_5!N312</f>
        <v>0</v>
      </c>
      <c r="O345" s="58">
        <f>PSK_AT_verzia_4_0!O345-PSK_AT_verzia_3_5!O312</f>
        <v>0</v>
      </c>
      <c r="P345" s="58">
        <f>PSK_AT_verzia_4_0!P345-PSK_AT_verzia_3_5!P312</f>
        <v>0</v>
      </c>
      <c r="Q345" s="58">
        <f>PSK_AT_verzia_4_0!Q345-PSK_AT_verzia_3_5!Q312</f>
        <v>0</v>
      </c>
    </row>
    <row r="346" spans="1:17" ht="28" customHeight="1" x14ac:dyDescent="0.35">
      <c r="A346" s="250"/>
      <c r="B346" s="251"/>
      <c r="C346" s="60">
        <f>PSK_AT_verzia_4_0!C346-PSK_AT_verzia_3_5!C313</f>
        <v>0</v>
      </c>
      <c r="D346" s="60">
        <f>PSK_AT_verzia_4_0!D346-PSK_AT_verzia_3_5!D313</f>
        <v>0</v>
      </c>
      <c r="E346" s="72">
        <f>PSK_AT_verzia_4_0!E346-PSK_AT_verzia_3_5!E313</f>
        <v>0</v>
      </c>
      <c r="F346" s="61" t="s">
        <v>115</v>
      </c>
      <c r="G346" s="60">
        <f>PSK_AT_verzia_4_0!G346-PSK_AT_verzia_3_5!G313</f>
        <v>0</v>
      </c>
      <c r="H346" s="60">
        <f>PSK_AT_verzia_4_0!H346-PSK_AT_verzia_3_5!H313</f>
        <v>0</v>
      </c>
      <c r="I346" s="60">
        <f>PSK_AT_verzia_4_0!I346-PSK_AT_verzia_3_5!I313</f>
        <v>0</v>
      </c>
      <c r="J346" s="60">
        <f>PSK_AT_verzia_4_0!J346-PSK_AT_verzia_3_5!J313</f>
        <v>0</v>
      </c>
      <c r="K346" s="60">
        <f>PSK_AT_verzia_4_0!K346-PSK_AT_verzia_3_5!K313</f>
        <v>0</v>
      </c>
      <c r="L346" s="60">
        <f>PSK_AT_verzia_4_0!L346-PSK_AT_verzia_3_5!L313</f>
        <v>0</v>
      </c>
      <c r="M346" s="60">
        <f>PSK_AT_verzia_4_0!M346-PSK_AT_verzia_3_5!M313</f>
        <v>0</v>
      </c>
      <c r="N346" s="60">
        <f>PSK_AT_verzia_4_0!N346-PSK_AT_verzia_3_5!N313</f>
        <v>0</v>
      </c>
      <c r="O346" s="60">
        <f>PSK_AT_verzia_4_0!O346-PSK_AT_verzia_3_5!O313</f>
        <v>0</v>
      </c>
      <c r="P346" s="60">
        <f>PSK_AT_verzia_4_0!P346-PSK_AT_verzia_3_5!P313</f>
        <v>0</v>
      </c>
      <c r="Q346" s="60">
        <f>PSK_AT_verzia_4_0!Q346-PSK_AT_verzia_3_5!Q313</f>
        <v>0</v>
      </c>
    </row>
    <row r="347" spans="1:17" ht="28" customHeight="1" x14ac:dyDescent="0.35">
      <c r="A347" s="250"/>
      <c r="B347" s="251"/>
      <c r="C347" s="200">
        <f>PSK_AT_verzia_4_0!C347-PSK_AT_verzia_3_5!C314</f>
        <v>0</v>
      </c>
      <c r="D347" s="200">
        <f>PSK_AT_verzia_4_0!D347-PSK_AT_verzia_3_5!D314</f>
        <v>0</v>
      </c>
      <c r="E347" s="200">
        <f>PSK_AT_verzia_4_0!E347-PSK_AT_verzia_3_5!E314</f>
        <v>0</v>
      </c>
      <c r="F347" s="66" t="s">
        <v>116</v>
      </c>
      <c r="G347" s="67">
        <f>PSK_AT_verzia_4_0!G347-PSK_AT_verzia_3_5!G314</f>
        <v>0</v>
      </c>
      <c r="H347" s="67">
        <f>PSK_AT_verzia_4_0!H347-PSK_AT_verzia_3_5!H314</f>
        <v>0</v>
      </c>
      <c r="I347" s="67">
        <f>PSK_AT_verzia_4_0!I347-PSK_AT_verzia_3_5!I314</f>
        <v>0</v>
      </c>
      <c r="J347" s="67">
        <f>PSK_AT_verzia_4_0!J347-PSK_AT_verzia_3_5!J314</f>
        <v>0</v>
      </c>
      <c r="K347" s="67">
        <f>PSK_AT_verzia_4_0!K347-PSK_AT_verzia_3_5!K314</f>
        <v>0</v>
      </c>
      <c r="L347" s="67">
        <f>PSK_AT_verzia_4_0!L347-PSK_AT_verzia_3_5!L314</f>
        <v>0</v>
      </c>
      <c r="M347" s="67">
        <f>PSK_AT_verzia_4_0!M347-PSK_AT_verzia_3_5!M314</f>
        <v>0</v>
      </c>
      <c r="N347" s="67">
        <f>PSK_AT_verzia_4_0!N347-PSK_AT_verzia_3_5!N314</f>
        <v>0</v>
      </c>
      <c r="O347" s="67">
        <f>PSK_AT_verzia_4_0!O347-PSK_AT_verzia_3_5!O314</f>
        <v>0</v>
      </c>
      <c r="P347" s="67">
        <f>PSK_AT_verzia_4_0!P347-PSK_AT_verzia_3_5!P314</f>
        <v>0</v>
      </c>
      <c r="Q347" s="67">
        <f>PSK_AT_verzia_4_0!Q347-PSK_AT_verzia_3_5!Q314</f>
        <v>0</v>
      </c>
    </row>
    <row r="348" spans="1:17" ht="28" customHeight="1" x14ac:dyDescent="0.35">
      <c r="A348" s="250"/>
      <c r="B348" s="251"/>
      <c r="C348" s="200">
        <f>PSK_AT_verzia_4_0!C348-PSK_AT_verzia_3_5!C315</f>
        <v>0</v>
      </c>
      <c r="D348" s="200">
        <f>PSK_AT_verzia_4_0!D348-PSK_AT_verzia_3_5!D315</f>
        <v>0</v>
      </c>
      <c r="E348" s="200">
        <f>PSK_AT_verzia_4_0!E348-PSK_AT_verzia_3_5!E315</f>
        <v>0</v>
      </c>
      <c r="F348" s="66" t="s">
        <v>117</v>
      </c>
      <c r="G348" s="74">
        <f>PSK_AT_verzia_4_0!G348-PSK_AT_verzia_3_5!G315</f>
        <v>0</v>
      </c>
      <c r="H348" s="74">
        <f>PSK_AT_verzia_4_0!H348-PSK_AT_verzia_3_5!H315</f>
        <v>0</v>
      </c>
      <c r="I348" s="74">
        <f>PSK_AT_verzia_4_0!I348-PSK_AT_verzia_3_5!I315</f>
        <v>0</v>
      </c>
      <c r="J348" s="74">
        <f>PSK_AT_verzia_4_0!J348-PSK_AT_verzia_3_5!J315</f>
        <v>0</v>
      </c>
      <c r="K348" s="74">
        <f>PSK_AT_verzia_4_0!K348-PSK_AT_verzia_3_5!K315</f>
        <v>0</v>
      </c>
      <c r="L348" s="74">
        <f>PSK_AT_verzia_4_0!L348-PSK_AT_verzia_3_5!L315</f>
        <v>0</v>
      </c>
      <c r="M348" s="74">
        <f>PSK_AT_verzia_4_0!M348-PSK_AT_verzia_3_5!M315</f>
        <v>0</v>
      </c>
      <c r="N348" s="74">
        <f>PSK_AT_verzia_4_0!N348-PSK_AT_verzia_3_5!N315</f>
        <v>0</v>
      </c>
      <c r="O348" s="74">
        <f>PSK_AT_verzia_4_0!O348-PSK_AT_verzia_3_5!O315</f>
        <v>0</v>
      </c>
      <c r="P348" s="74">
        <f>PSK_AT_verzia_4_0!P348-PSK_AT_verzia_3_5!P315</f>
        <v>0</v>
      </c>
      <c r="Q348" s="74">
        <f>PSK_AT_verzia_4_0!Q348-PSK_AT_verzia_3_5!Q315</f>
        <v>0</v>
      </c>
    </row>
    <row r="349" spans="1:17" ht="28" customHeight="1" x14ac:dyDescent="0.35">
      <c r="A349" s="250" t="s">
        <v>308</v>
      </c>
      <c r="B349" s="251" t="s">
        <v>309</v>
      </c>
      <c r="C349" s="57">
        <f>PSK_AT_verzia_4_0!C349-PSK_AT_verzia_3_5!C316</f>
        <v>1015236</v>
      </c>
      <c r="D349" s="57">
        <f>PSK_AT_verzia_4_0!D349-PSK_AT_verzia_3_5!D316</f>
        <v>0</v>
      </c>
      <c r="E349" s="57">
        <f>PSK_AT_verzia_4_0!E349-PSK_AT_verzia_3_5!E316</f>
        <v>0</v>
      </c>
      <c r="F349" s="59" t="s">
        <v>310</v>
      </c>
      <c r="G349" s="58">
        <f>PSK_AT_verzia_4_0!G349-PSK_AT_verzia_3_5!G316</f>
        <v>-4459565</v>
      </c>
      <c r="H349" s="58">
        <f>PSK_AT_verzia_4_0!H349-PSK_AT_verzia_3_5!H316</f>
        <v>-4459565</v>
      </c>
      <c r="I349" s="58">
        <f>PSK_AT_verzia_4_0!I349-PSK_AT_verzia_3_5!I316</f>
        <v>0</v>
      </c>
      <c r="J349" s="58">
        <f>PSK_AT_verzia_4_0!J349-PSK_AT_verzia_3_5!J316</f>
        <v>-4459565</v>
      </c>
      <c r="K349" s="58">
        <f>PSK_AT_verzia_4_0!K349-PSK_AT_verzia_3_5!K316</f>
        <v>-4459565</v>
      </c>
      <c r="L349" s="58">
        <f>PSK_AT_verzia_4_0!L349-PSK_AT_verzia_3_5!L316</f>
        <v>0</v>
      </c>
      <c r="M349" s="58">
        <f>PSK_AT_verzia_4_0!M349-PSK_AT_verzia_3_5!M316</f>
        <v>0</v>
      </c>
      <c r="N349" s="58">
        <f>PSK_AT_verzia_4_0!N349-PSK_AT_verzia_3_5!N316</f>
        <v>0</v>
      </c>
      <c r="O349" s="58">
        <f>PSK_AT_verzia_4_0!O349-PSK_AT_verzia_3_5!O316</f>
        <v>0</v>
      </c>
      <c r="P349" s="58">
        <f>PSK_AT_verzia_4_0!P349-PSK_AT_verzia_3_5!P316</f>
        <v>0</v>
      </c>
      <c r="Q349" s="58">
        <f>PSK_AT_verzia_4_0!Q349-PSK_AT_verzia_3_5!Q316</f>
        <v>0</v>
      </c>
    </row>
    <row r="350" spans="1:17" ht="28" customHeight="1" x14ac:dyDescent="0.35">
      <c r="A350" s="250"/>
      <c r="B350" s="251"/>
      <c r="C350" s="99">
        <f>PSK_AT_verzia_4_0!C350-PSK_AT_verzia_3_5!C317</f>
        <v>1015236</v>
      </c>
      <c r="D350" s="60">
        <f>PSK_AT_verzia_4_0!D350-PSK_AT_verzia_3_5!D317</f>
        <v>0</v>
      </c>
      <c r="E350" s="60">
        <f>PSK_AT_verzia_4_0!E350-PSK_AT_verzia_3_5!E317</f>
        <v>0</v>
      </c>
      <c r="F350" s="61" t="s">
        <v>36</v>
      </c>
      <c r="G350" s="60">
        <f>PSK_AT_verzia_4_0!G350-PSK_AT_verzia_3_5!G317</f>
        <v>-4459565</v>
      </c>
      <c r="H350" s="60">
        <f>PSK_AT_verzia_4_0!H350-PSK_AT_verzia_3_5!H317</f>
        <v>-4459565</v>
      </c>
      <c r="I350" s="60">
        <f>PSK_AT_verzia_4_0!I350-PSK_AT_verzia_3_5!I317</f>
        <v>0</v>
      </c>
      <c r="J350" s="60">
        <f>PSK_AT_verzia_4_0!J350-PSK_AT_verzia_3_5!J317</f>
        <v>-4459565</v>
      </c>
      <c r="K350" s="60">
        <f>PSK_AT_verzia_4_0!K350-PSK_AT_verzia_3_5!K317</f>
        <v>-4459565</v>
      </c>
      <c r="L350" s="60">
        <f>PSK_AT_verzia_4_0!L350-PSK_AT_verzia_3_5!L317</f>
        <v>0</v>
      </c>
      <c r="M350" s="60">
        <f>PSK_AT_verzia_4_0!M350-PSK_AT_verzia_3_5!M317</f>
        <v>0</v>
      </c>
      <c r="N350" s="60">
        <f>PSK_AT_verzia_4_0!N350-PSK_AT_verzia_3_5!N317</f>
        <v>0</v>
      </c>
      <c r="O350" s="60">
        <f>PSK_AT_verzia_4_0!O350-PSK_AT_verzia_3_5!O317</f>
        <v>0</v>
      </c>
      <c r="P350" s="60">
        <f>PSK_AT_verzia_4_0!P350-PSK_AT_verzia_3_5!P317</f>
        <v>0</v>
      </c>
      <c r="Q350" s="60">
        <f>PSK_AT_verzia_4_0!Q350-PSK_AT_verzia_3_5!Q317</f>
        <v>0</v>
      </c>
    </row>
    <row r="351" spans="1:17" ht="28" customHeight="1" x14ac:dyDescent="0.35">
      <c r="A351" s="250"/>
      <c r="B351" s="251"/>
      <c r="C351" s="200">
        <f>PSK_AT_verzia_4_0!C351-PSK_AT_verzia_3_5!C318</f>
        <v>0</v>
      </c>
      <c r="D351" s="200">
        <f>PSK_AT_verzia_4_0!D351-PSK_AT_verzia_3_5!D318</f>
        <v>0</v>
      </c>
      <c r="E351" s="200">
        <f>PSK_AT_verzia_4_0!E351-PSK_AT_verzia_3_5!E318</f>
        <v>0</v>
      </c>
      <c r="F351" s="66" t="s">
        <v>37</v>
      </c>
      <c r="G351" s="67">
        <f>PSK_AT_verzia_4_0!G351-PSK_AT_verzia_3_5!G318</f>
        <v>-5474801</v>
      </c>
      <c r="H351" s="67">
        <f>PSK_AT_verzia_4_0!H351-PSK_AT_verzia_3_5!H318</f>
        <v>-5474801</v>
      </c>
      <c r="I351" s="67">
        <f>PSK_AT_verzia_4_0!I351-PSK_AT_verzia_3_5!I318</f>
        <v>0</v>
      </c>
      <c r="J351" s="67">
        <f>PSK_AT_verzia_4_0!J351-PSK_AT_verzia_3_5!J318</f>
        <v>-5474801</v>
      </c>
      <c r="K351" s="67">
        <f>PSK_AT_verzia_4_0!K351-PSK_AT_verzia_3_5!K318</f>
        <v>-5474801</v>
      </c>
      <c r="L351" s="67">
        <f>PSK_AT_verzia_4_0!L351-PSK_AT_verzia_3_5!L318</f>
        <v>0</v>
      </c>
      <c r="M351" s="67">
        <f>PSK_AT_verzia_4_0!M351-PSK_AT_verzia_3_5!M318</f>
        <v>0</v>
      </c>
      <c r="N351" s="67">
        <f>PSK_AT_verzia_4_0!N351-PSK_AT_verzia_3_5!N318</f>
        <v>0</v>
      </c>
      <c r="O351" s="67">
        <f>PSK_AT_verzia_4_0!O351-PSK_AT_verzia_3_5!O318</f>
        <v>0</v>
      </c>
      <c r="P351" s="67">
        <f>PSK_AT_verzia_4_0!P351-PSK_AT_verzia_3_5!P318</f>
        <v>0</v>
      </c>
      <c r="Q351" s="67">
        <f>PSK_AT_verzia_4_0!Q351-PSK_AT_verzia_3_5!Q318</f>
        <v>0</v>
      </c>
    </row>
    <row r="352" spans="1:17" ht="28" customHeight="1" x14ac:dyDescent="0.35">
      <c r="A352" s="250"/>
      <c r="B352" s="251"/>
      <c r="C352" s="200">
        <f>PSK_AT_verzia_4_0!C352-PSK_AT_verzia_3_5!C319</f>
        <v>0</v>
      </c>
      <c r="D352" s="200">
        <f>PSK_AT_verzia_4_0!D352-PSK_AT_verzia_3_5!D319</f>
        <v>0</v>
      </c>
      <c r="E352" s="200">
        <f>PSK_AT_verzia_4_0!E352-PSK_AT_verzia_3_5!E319</f>
        <v>0</v>
      </c>
      <c r="F352" s="66" t="s">
        <v>38</v>
      </c>
      <c r="G352" s="71">
        <f>PSK_AT_verzia_4_0!G352-PSK_AT_verzia_3_5!G319</f>
        <v>1015236</v>
      </c>
      <c r="H352" s="71">
        <f>PSK_AT_verzia_4_0!H352-PSK_AT_verzia_3_5!H319</f>
        <v>1015236</v>
      </c>
      <c r="I352" s="71">
        <f>PSK_AT_verzia_4_0!I352-PSK_AT_verzia_3_5!I319</f>
        <v>0</v>
      </c>
      <c r="J352" s="71">
        <f>PSK_AT_verzia_4_0!J352-PSK_AT_verzia_3_5!J319</f>
        <v>1015236</v>
      </c>
      <c r="K352" s="71">
        <f>PSK_AT_verzia_4_0!K352-PSK_AT_verzia_3_5!K319</f>
        <v>1015236</v>
      </c>
      <c r="L352" s="71">
        <f>PSK_AT_verzia_4_0!L352-PSK_AT_verzia_3_5!L319</f>
        <v>0</v>
      </c>
      <c r="M352" s="71">
        <f>PSK_AT_verzia_4_0!M352-PSK_AT_verzia_3_5!M319</f>
        <v>0</v>
      </c>
      <c r="N352" s="71">
        <f>PSK_AT_verzia_4_0!N352-PSK_AT_verzia_3_5!N319</f>
        <v>0</v>
      </c>
      <c r="O352" s="71">
        <f>PSK_AT_verzia_4_0!O352-PSK_AT_verzia_3_5!O319</f>
        <v>0</v>
      </c>
      <c r="P352" s="71">
        <f>PSK_AT_verzia_4_0!P352-PSK_AT_verzia_3_5!P319</f>
        <v>0</v>
      </c>
      <c r="Q352" s="71">
        <f>PSK_AT_verzia_4_0!Q352-PSK_AT_verzia_3_5!Q319</f>
        <v>0</v>
      </c>
    </row>
    <row r="353" spans="1:17" ht="28" customHeight="1" x14ac:dyDescent="0.35">
      <c r="A353" s="250"/>
      <c r="B353" s="251"/>
      <c r="C353" s="200">
        <f>PSK_AT_verzia_4_0!C353-PSK_AT_verzia_3_5!C320</f>
        <v>0</v>
      </c>
      <c r="D353" s="200">
        <f>PSK_AT_verzia_4_0!D353-PSK_AT_verzia_3_5!D320</f>
        <v>0</v>
      </c>
      <c r="E353" s="200">
        <f>PSK_AT_verzia_4_0!E353-PSK_AT_verzia_3_5!E320</f>
        <v>0</v>
      </c>
      <c r="F353" s="66" t="s">
        <v>39</v>
      </c>
      <c r="G353" s="71">
        <f>PSK_AT_verzia_4_0!G353-PSK_AT_verzia_3_5!G320</f>
        <v>0</v>
      </c>
      <c r="H353" s="71">
        <f>PSK_AT_verzia_4_0!H353-PSK_AT_verzia_3_5!H320</f>
        <v>0</v>
      </c>
      <c r="I353" s="71">
        <f>PSK_AT_verzia_4_0!I353-PSK_AT_verzia_3_5!I320</f>
        <v>0</v>
      </c>
      <c r="J353" s="71">
        <f>PSK_AT_verzia_4_0!J353-PSK_AT_verzia_3_5!J320</f>
        <v>0</v>
      </c>
      <c r="K353" s="71">
        <f>PSK_AT_verzia_4_0!K353-PSK_AT_verzia_3_5!K320</f>
        <v>0</v>
      </c>
      <c r="L353" s="71">
        <f>PSK_AT_verzia_4_0!L353-PSK_AT_verzia_3_5!L320</f>
        <v>0</v>
      </c>
      <c r="M353" s="71">
        <f>PSK_AT_verzia_4_0!M353-PSK_AT_verzia_3_5!M320</f>
        <v>0</v>
      </c>
      <c r="N353" s="71">
        <f>PSK_AT_verzia_4_0!N353-PSK_AT_verzia_3_5!N320</f>
        <v>0</v>
      </c>
      <c r="O353" s="71">
        <f>PSK_AT_verzia_4_0!O353-PSK_AT_verzia_3_5!O320</f>
        <v>0</v>
      </c>
      <c r="P353" s="71">
        <f>PSK_AT_verzia_4_0!P353-PSK_AT_verzia_3_5!P320</f>
        <v>0</v>
      </c>
      <c r="Q353" s="71">
        <f>PSK_AT_verzia_4_0!Q353-PSK_AT_verzia_3_5!Q320</f>
        <v>0</v>
      </c>
    </row>
    <row r="354" spans="1:17" ht="28" customHeight="1" x14ac:dyDescent="0.35">
      <c r="A354" s="250"/>
      <c r="B354" s="251"/>
      <c r="C354" s="60">
        <f>PSK_AT_verzia_4_0!C354-PSK_AT_verzia_3_5!C321</f>
        <v>0</v>
      </c>
      <c r="D354" s="102">
        <f>PSK_AT_verzia_4_0!D354-PSK_AT_verzia_3_5!D321</f>
        <v>0</v>
      </c>
      <c r="E354" s="60">
        <f>PSK_AT_verzia_4_0!E354-PSK_AT_verzia_3_5!E321</f>
        <v>0</v>
      </c>
      <c r="F354" s="61" t="s">
        <v>186</v>
      </c>
      <c r="G354" s="60">
        <f>PSK_AT_verzia_4_0!G354-PSK_AT_verzia_3_5!G321</f>
        <v>0</v>
      </c>
      <c r="H354" s="60">
        <f>PSK_AT_verzia_4_0!H354-PSK_AT_verzia_3_5!H321</f>
        <v>0</v>
      </c>
      <c r="I354" s="60">
        <f>PSK_AT_verzia_4_0!I354-PSK_AT_verzia_3_5!I321</f>
        <v>0</v>
      </c>
      <c r="J354" s="60">
        <f>PSK_AT_verzia_4_0!J354-PSK_AT_verzia_3_5!J321</f>
        <v>0</v>
      </c>
      <c r="K354" s="60">
        <f>PSK_AT_verzia_4_0!K354-PSK_AT_verzia_3_5!K321</f>
        <v>0</v>
      </c>
      <c r="L354" s="60">
        <f>PSK_AT_verzia_4_0!L354-PSK_AT_verzia_3_5!L321</f>
        <v>0</v>
      </c>
      <c r="M354" s="60">
        <f>PSK_AT_verzia_4_0!M354-PSK_AT_verzia_3_5!M321</f>
        <v>0</v>
      </c>
      <c r="N354" s="60">
        <f>PSK_AT_verzia_4_0!N354-PSK_AT_verzia_3_5!N321</f>
        <v>0</v>
      </c>
      <c r="O354" s="60">
        <f>PSK_AT_verzia_4_0!O354-PSK_AT_verzia_3_5!O321</f>
        <v>0</v>
      </c>
      <c r="P354" s="60">
        <f>PSK_AT_verzia_4_0!P354-PSK_AT_verzia_3_5!P321</f>
        <v>0</v>
      </c>
      <c r="Q354" s="60">
        <f>PSK_AT_verzia_4_0!Q354-PSK_AT_verzia_3_5!Q321</f>
        <v>0</v>
      </c>
    </row>
    <row r="355" spans="1:17" ht="28" customHeight="1" x14ac:dyDescent="0.35">
      <c r="A355" s="250"/>
      <c r="B355" s="251"/>
      <c r="C355" s="200">
        <f>PSK_AT_verzia_4_0!C355-PSK_AT_verzia_3_5!C322</f>
        <v>0</v>
      </c>
      <c r="D355" s="200">
        <f>PSK_AT_verzia_4_0!D355-PSK_AT_verzia_3_5!D322</f>
        <v>0</v>
      </c>
      <c r="E355" s="200">
        <f>PSK_AT_verzia_4_0!E355-PSK_AT_verzia_3_5!E322</f>
        <v>0</v>
      </c>
      <c r="F355" s="66" t="s">
        <v>187</v>
      </c>
      <c r="G355" s="103">
        <f>PSK_AT_verzia_4_0!G355-PSK_AT_verzia_3_5!G322</f>
        <v>0</v>
      </c>
      <c r="H355" s="103">
        <f>PSK_AT_verzia_4_0!H355-PSK_AT_verzia_3_5!H322</f>
        <v>0</v>
      </c>
      <c r="I355" s="103">
        <f>PSK_AT_verzia_4_0!I355-PSK_AT_verzia_3_5!I322</f>
        <v>0</v>
      </c>
      <c r="J355" s="103">
        <f>PSK_AT_verzia_4_0!J355-PSK_AT_verzia_3_5!J322</f>
        <v>0</v>
      </c>
      <c r="K355" s="103">
        <f>PSK_AT_verzia_4_0!K355-PSK_AT_verzia_3_5!K322</f>
        <v>0</v>
      </c>
      <c r="L355" s="103">
        <f>PSK_AT_verzia_4_0!L355-PSK_AT_verzia_3_5!L322</f>
        <v>0</v>
      </c>
      <c r="M355" s="103">
        <f>PSK_AT_verzia_4_0!M355-PSK_AT_verzia_3_5!M322</f>
        <v>0</v>
      </c>
      <c r="N355" s="103">
        <f>PSK_AT_verzia_4_0!N355-PSK_AT_verzia_3_5!N322</f>
        <v>0</v>
      </c>
      <c r="O355" s="103">
        <f>PSK_AT_verzia_4_0!O355-PSK_AT_verzia_3_5!O322</f>
        <v>0</v>
      </c>
      <c r="P355" s="103">
        <f>PSK_AT_verzia_4_0!P355-PSK_AT_verzia_3_5!P322</f>
        <v>0</v>
      </c>
      <c r="Q355" s="103">
        <f>PSK_AT_verzia_4_0!Q355-PSK_AT_verzia_3_5!Q322</f>
        <v>0</v>
      </c>
    </row>
    <row r="356" spans="1:17" ht="28" customHeight="1" x14ac:dyDescent="0.35">
      <c r="A356" s="250" t="s">
        <v>311</v>
      </c>
      <c r="B356" s="251" t="s">
        <v>312</v>
      </c>
      <c r="C356" s="57">
        <f>PSK_AT_verzia_4_0!C356-PSK_AT_verzia_3_5!C323</f>
        <v>8392641</v>
      </c>
      <c r="D356" s="57">
        <f>PSK_AT_verzia_4_0!D356-PSK_AT_verzia_3_5!D323</f>
        <v>0</v>
      </c>
      <c r="E356" s="57">
        <f>PSK_AT_verzia_4_0!E356-PSK_AT_verzia_3_5!E323</f>
        <v>0</v>
      </c>
      <c r="F356" s="59" t="s">
        <v>313</v>
      </c>
      <c r="G356" s="58">
        <f>PSK_AT_verzia_4_0!G356-PSK_AT_verzia_3_5!G323</f>
        <v>22792641</v>
      </c>
      <c r="H356" s="58">
        <f>PSK_AT_verzia_4_0!H356-PSK_AT_verzia_3_5!H323</f>
        <v>22792641</v>
      </c>
      <c r="I356" s="58">
        <f>PSK_AT_verzia_4_0!I356-PSK_AT_verzia_3_5!I323</f>
        <v>0</v>
      </c>
      <c r="J356" s="58">
        <f>PSK_AT_verzia_4_0!J356-PSK_AT_verzia_3_5!J323</f>
        <v>22792641</v>
      </c>
      <c r="K356" s="58">
        <f>PSK_AT_verzia_4_0!K356-PSK_AT_verzia_3_5!K323</f>
        <v>22792641</v>
      </c>
      <c r="L356" s="58">
        <f>PSK_AT_verzia_4_0!L356-PSK_AT_verzia_3_5!L323</f>
        <v>0</v>
      </c>
      <c r="M356" s="58">
        <f>PSK_AT_verzia_4_0!M356-PSK_AT_verzia_3_5!M323</f>
        <v>0</v>
      </c>
      <c r="N356" s="58">
        <f>PSK_AT_verzia_4_0!N356-PSK_AT_verzia_3_5!N323</f>
        <v>0</v>
      </c>
      <c r="O356" s="58">
        <f>PSK_AT_verzia_4_0!O356-PSK_AT_verzia_3_5!O323</f>
        <v>0</v>
      </c>
      <c r="P356" s="58">
        <f>PSK_AT_verzia_4_0!P356-PSK_AT_verzia_3_5!P323</f>
        <v>0</v>
      </c>
      <c r="Q356" s="58">
        <f>PSK_AT_verzia_4_0!Q356-PSK_AT_verzia_3_5!Q323</f>
        <v>0</v>
      </c>
    </row>
    <row r="357" spans="1:17" ht="28" customHeight="1" x14ac:dyDescent="0.35">
      <c r="A357" s="250"/>
      <c r="B357" s="251"/>
      <c r="C357" s="99">
        <f>PSK_AT_verzia_4_0!C357-PSK_AT_verzia_3_5!C324</f>
        <v>8392641</v>
      </c>
      <c r="D357" s="60">
        <f>PSK_AT_verzia_4_0!D357-PSK_AT_verzia_3_5!D324</f>
        <v>0</v>
      </c>
      <c r="E357" s="60">
        <f>PSK_AT_verzia_4_0!E357-PSK_AT_verzia_3_5!E324</f>
        <v>0</v>
      </c>
      <c r="F357" s="61" t="s">
        <v>36</v>
      </c>
      <c r="G357" s="60">
        <f>PSK_AT_verzia_4_0!G357-PSK_AT_verzia_3_5!G324</f>
        <v>22792641</v>
      </c>
      <c r="H357" s="60">
        <f>PSK_AT_verzia_4_0!H357-PSK_AT_verzia_3_5!H324</f>
        <v>22792641</v>
      </c>
      <c r="I357" s="60">
        <f>PSK_AT_verzia_4_0!I357-PSK_AT_verzia_3_5!I324</f>
        <v>0</v>
      </c>
      <c r="J357" s="60">
        <f>PSK_AT_verzia_4_0!J357-PSK_AT_verzia_3_5!J324</f>
        <v>22792641</v>
      </c>
      <c r="K357" s="60">
        <f>PSK_AT_verzia_4_0!K357-PSK_AT_verzia_3_5!K324</f>
        <v>22792641</v>
      </c>
      <c r="L357" s="60">
        <f>PSK_AT_verzia_4_0!L357-PSK_AT_verzia_3_5!L324</f>
        <v>0</v>
      </c>
      <c r="M357" s="60">
        <f>PSK_AT_verzia_4_0!M357-PSK_AT_verzia_3_5!M324</f>
        <v>0</v>
      </c>
      <c r="N357" s="60">
        <f>PSK_AT_verzia_4_0!N357-PSK_AT_verzia_3_5!N324</f>
        <v>0</v>
      </c>
      <c r="O357" s="60">
        <f>PSK_AT_verzia_4_0!O357-PSK_AT_verzia_3_5!O324</f>
        <v>0</v>
      </c>
      <c r="P357" s="60">
        <f>PSK_AT_verzia_4_0!P357-PSK_AT_verzia_3_5!P324</f>
        <v>0</v>
      </c>
      <c r="Q357" s="60">
        <f>PSK_AT_verzia_4_0!Q357-PSK_AT_verzia_3_5!Q324</f>
        <v>0</v>
      </c>
    </row>
    <row r="358" spans="1:17" ht="28" customHeight="1" x14ac:dyDescent="0.35">
      <c r="A358" s="250"/>
      <c r="B358" s="251"/>
      <c r="C358" s="200">
        <f>PSK_AT_verzia_4_0!C358-PSK_AT_verzia_3_5!C325</f>
        <v>0</v>
      </c>
      <c r="D358" s="200">
        <f>PSK_AT_verzia_4_0!D358-PSK_AT_verzia_3_5!D325</f>
        <v>0</v>
      </c>
      <c r="E358" s="200">
        <f>PSK_AT_verzia_4_0!E358-PSK_AT_verzia_3_5!E325</f>
        <v>0</v>
      </c>
      <c r="F358" s="66" t="s">
        <v>37</v>
      </c>
      <c r="G358" s="67">
        <f>PSK_AT_verzia_4_0!G358-PSK_AT_verzia_3_5!G325</f>
        <v>14400000</v>
      </c>
      <c r="H358" s="67">
        <f>PSK_AT_verzia_4_0!H358-PSK_AT_verzia_3_5!H325</f>
        <v>14400000</v>
      </c>
      <c r="I358" s="67">
        <f>PSK_AT_verzia_4_0!I358-PSK_AT_verzia_3_5!I325</f>
        <v>0</v>
      </c>
      <c r="J358" s="67">
        <f>PSK_AT_verzia_4_0!J358-PSK_AT_verzia_3_5!J325</f>
        <v>14400000</v>
      </c>
      <c r="K358" s="67">
        <f>PSK_AT_verzia_4_0!K358-PSK_AT_verzia_3_5!K325</f>
        <v>14400000</v>
      </c>
      <c r="L358" s="67">
        <f>PSK_AT_verzia_4_0!L358-PSK_AT_verzia_3_5!L325</f>
        <v>0</v>
      </c>
      <c r="M358" s="67">
        <f>PSK_AT_verzia_4_0!M358-PSK_AT_verzia_3_5!M325</f>
        <v>0</v>
      </c>
      <c r="N358" s="67">
        <f>PSK_AT_verzia_4_0!N358-PSK_AT_verzia_3_5!N325</f>
        <v>0</v>
      </c>
      <c r="O358" s="67">
        <f>PSK_AT_verzia_4_0!O358-PSK_AT_verzia_3_5!O325</f>
        <v>0</v>
      </c>
      <c r="P358" s="67">
        <f>PSK_AT_verzia_4_0!P358-PSK_AT_verzia_3_5!P325</f>
        <v>0</v>
      </c>
      <c r="Q358" s="67">
        <f>PSK_AT_verzia_4_0!Q358-PSK_AT_verzia_3_5!Q325</f>
        <v>0</v>
      </c>
    </row>
    <row r="359" spans="1:17" ht="28" customHeight="1" x14ac:dyDescent="0.35">
      <c r="A359" s="250"/>
      <c r="B359" s="251"/>
      <c r="C359" s="200">
        <f>PSK_AT_verzia_4_0!C359-PSK_AT_verzia_3_5!C326</f>
        <v>0</v>
      </c>
      <c r="D359" s="200">
        <f>PSK_AT_verzia_4_0!D359-PSK_AT_verzia_3_5!D326</f>
        <v>0</v>
      </c>
      <c r="E359" s="200">
        <f>PSK_AT_verzia_4_0!E359-PSK_AT_verzia_3_5!E326</f>
        <v>0</v>
      </c>
      <c r="F359" s="66" t="s">
        <v>38</v>
      </c>
      <c r="G359" s="71">
        <f>PSK_AT_verzia_4_0!G359-PSK_AT_verzia_3_5!G326</f>
        <v>4874624</v>
      </c>
      <c r="H359" s="71">
        <f>PSK_AT_verzia_4_0!H359-PSK_AT_verzia_3_5!H326</f>
        <v>4874624</v>
      </c>
      <c r="I359" s="71">
        <f>PSK_AT_verzia_4_0!I359-PSK_AT_verzia_3_5!I326</f>
        <v>0</v>
      </c>
      <c r="J359" s="71">
        <f>PSK_AT_verzia_4_0!J359-PSK_AT_verzia_3_5!J326</f>
        <v>4874624</v>
      </c>
      <c r="K359" s="71">
        <f>PSK_AT_verzia_4_0!K359-PSK_AT_verzia_3_5!K326</f>
        <v>4874624</v>
      </c>
      <c r="L359" s="71">
        <f>PSK_AT_verzia_4_0!L359-PSK_AT_verzia_3_5!L326</f>
        <v>0</v>
      </c>
      <c r="M359" s="71">
        <f>PSK_AT_verzia_4_0!M359-PSK_AT_verzia_3_5!M326</f>
        <v>0</v>
      </c>
      <c r="N359" s="71">
        <f>PSK_AT_verzia_4_0!N359-PSK_AT_verzia_3_5!N326</f>
        <v>0</v>
      </c>
      <c r="O359" s="71">
        <f>PSK_AT_verzia_4_0!O359-PSK_AT_verzia_3_5!O326</f>
        <v>0</v>
      </c>
      <c r="P359" s="71">
        <f>PSK_AT_verzia_4_0!P359-PSK_AT_verzia_3_5!P326</f>
        <v>0</v>
      </c>
      <c r="Q359" s="71">
        <f>PSK_AT_verzia_4_0!Q359-PSK_AT_verzia_3_5!Q326</f>
        <v>0</v>
      </c>
    </row>
    <row r="360" spans="1:17" ht="28" customHeight="1" x14ac:dyDescent="0.35">
      <c r="A360" s="250"/>
      <c r="B360" s="251"/>
      <c r="C360" s="200">
        <f>PSK_AT_verzia_4_0!C360-PSK_AT_verzia_3_5!C327</f>
        <v>0</v>
      </c>
      <c r="D360" s="200">
        <f>PSK_AT_verzia_4_0!D360-PSK_AT_verzia_3_5!D327</f>
        <v>0</v>
      </c>
      <c r="E360" s="200">
        <f>PSK_AT_verzia_4_0!E360-PSK_AT_verzia_3_5!E327</f>
        <v>0</v>
      </c>
      <c r="F360" s="66" t="s">
        <v>39</v>
      </c>
      <c r="G360" s="71">
        <f>PSK_AT_verzia_4_0!G360-PSK_AT_verzia_3_5!G327</f>
        <v>3518017</v>
      </c>
      <c r="H360" s="71">
        <f>PSK_AT_verzia_4_0!H360-PSK_AT_verzia_3_5!H327</f>
        <v>3518017</v>
      </c>
      <c r="I360" s="71">
        <f>PSK_AT_verzia_4_0!I360-PSK_AT_verzia_3_5!I327</f>
        <v>0</v>
      </c>
      <c r="J360" s="71">
        <f>PSK_AT_verzia_4_0!J360-PSK_AT_verzia_3_5!J327</f>
        <v>3518017</v>
      </c>
      <c r="K360" s="71">
        <f>PSK_AT_verzia_4_0!K360-PSK_AT_verzia_3_5!K327</f>
        <v>3518017</v>
      </c>
      <c r="L360" s="71">
        <f>PSK_AT_verzia_4_0!L360-PSK_AT_verzia_3_5!L327</f>
        <v>0</v>
      </c>
      <c r="M360" s="71">
        <f>PSK_AT_verzia_4_0!M360-PSK_AT_verzia_3_5!M327</f>
        <v>0</v>
      </c>
      <c r="N360" s="71">
        <f>PSK_AT_verzia_4_0!N360-PSK_AT_verzia_3_5!N327</f>
        <v>0</v>
      </c>
      <c r="O360" s="71">
        <f>PSK_AT_verzia_4_0!O360-PSK_AT_verzia_3_5!O327</f>
        <v>0</v>
      </c>
      <c r="P360" s="71">
        <f>PSK_AT_verzia_4_0!P360-PSK_AT_verzia_3_5!P327</f>
        <v>0</v>
      </c>
      <c r="Q360" s="71">
        <f>PSK_AT_verzia_4_0!Q360-PSK_AT_verzia_3_5!Q327</f>
        <v>0</v>
      </c>
    </row>
    <row r="361" spans="1:17" ht="28" customHeight="1" x14ac:dyDescent="0.35">
      <c r="A361" s="250"/>
      <c r="B361" s="251"/>
      <c r="C361" s="60">
        <f>PSK_AT_verzia_4_0!C361-PSK_AT_verzia_3_5!C328</f>
        <v>0</v>
      </c>
      <c r="D361" s="102">
        <f>PSK_AT_verzia_4_0!D361-PSK_AT_verzia_3_5!D328</f>
        <v>0</v>
      </c>
      <c r="E361" s="60">
        <f>PSK_AT_verzia_4_0!E361-PSK_AT_verzia_3_5!E328</f>
        <v>0</v>
      </c>
      <c r="F361" s="61" t="s">
        <v>186</v>
      </c>
      <c r="G361" s="60">
        <f>PSK_AT_verzia_4_0!G361-PSK_AT_verzia_3_5!G328</f>
        <v>0</v>
      </c>
      <c r="H361" s="60">
        <f>PSK_AT_verzia_4_0!H361-PSK_AT_verzia_3_5!H328</f>
        <v>0</v>
      </c>
      <c r="I361" s="60">
        <f>PSK_AT_verzia_4_0!I361-PSK_AT_verzia_3_5!I328</f>
        <v>0</v>
      </c>
      <c r="J361" s="60">
        <f>PSK_AT_verzia_4_0!J361-PSK_AT_verzia_3_5!J328</f>
        <v>0</v>
      </c>
      <c r="K361" s="60">
        <f>PSK_AT_verzia_4_0!K361-PSK_AT_verzia_3_5!K328</f>
        <v>0</v>
      </c>
      <c r="L361" s="60">
        <f>PSK_AT_verzia_4_0!L361-PSK_AT_verzia_3_5!L328</f>
        <v>0</v>
      </c>
      <c r="M361" s="60">
        <f>PSK_AT_verzia_4_0!M361-PSK_AT_verzia_3_5!M328</f>
        <v>0</v>
      </c>
      <c r="N361" s="60">
        <f>PSK_AT_verzia_4_0!N361-PSK_AT_verzia_3_5!N328</f>
        <v>0</v>
      </c>
      <c r="O361" s="60">
        <f>PSK_AT_verzia_4_0!O361-PSK_AT_verzia_3_5!O328</f>
        <v>0</v>
      </c>
      <c r="P361" s="60">
        <f>PSK_AT_verzia_4_0!P361-PSK_AT_verzia_3_5!P328</f>
        <v>0</v>
      </c>
      <c r="Q361" s="60">
        <f>PSK_AT_verzia_4_0!Q361-PSK_AT_verzia_3_5!Q328</f>
        <v>0</v>
      </c>
    </row>
    <row r="362" spans="1:17" ht="28" customHeight="1" x14ac:dyDescent="0.35">
      <c r="A362" s="250"/>
      <c r="B362" s="251"/>
      <c r="C362" s="200">
        <f>PSK_AT_verzia_4_0!C362-PSK_AT_verzia_3_5!C329</f>
        <v>0</v>
      </c>
      <c r="D362" s="200">
        <f>PSK_AT_verzia_4_0!D362-PSK_AT_verzia_3_5!D329</f>
        <v>0</v>
      </c>
      <c r="E362" s="200">
        <f>PSK_AT_verzia_4_0!E362-PSK_AT_verzia_3_5!E329</f>
        <v>0</v>
      </c>
      <c r="F362" s="66" t="s">
        <v>187</v>
      </c>
      <c r="G362" s="103">
        <f>PSK_AT_verzia_4_0!G362-PSK_AT_verzia_3_5!G329</f>
        <v>0</v>
      </c>
      <c r="H362" s="103">
        <f>PSK_AT_verzia_4_0!H362-PSK_AT_verzia_3_5!H329</f>
        <v>0</v>
      </c>
      <c r="I362" s="103">
        <f>PSK_AT_verzia_4_0!I362-PSK_AT_verzia_3_5!I329</f>
        <v>0</v>
      </c>
      <c r="J362" s="103">
        <f>PSK_AT_verzia_4_0!J362-PSK_AT_verzia_3_5!J329</f>
        <v>0</v>
      </c>
      <c r="K362" s="103">
        <f>PSK_AT_verzia_4_0!K362-PSK_AT_verzia_3_5!K329</f>
        <v>0</v>
      </c>
      <c r="L362" s="103">
        <f>PSK_AT_verzia_4_0!L362-PSK_AT_verzia_3_5!L329</f>
        <v>0</v>
      </c>
      <c r="M362" s="103">
        <f>PSK_AT_verzia_4_0!M362-PSK_AT_verzia_3_5!M329</f>
        <v>0</v>
      </c>
      <c r="N362" s="103">
        <f>PSK_AT_verzia_4_0!N362-PSK_AT_verzia_3_5!N329</f>
        <v>0</v>
      </c>
      <c r="O362" s="103">
        <f>PSK_AT_verzia_4_0!O362-PSK_AT_verzia_3_5!O329</f>
        <v>0</v>
      </c>
      <c r="P362" s="103">
        <f>PSK_AT_verzia_4_0!P362-PSK_AT_verzia_3_5!P329</f>
        <v>0</v>
      </c>
      <c r="Q362" s="103">
        <f>PSK_AT_verzia_4_0!Q362-PSK_AT_verzia_3_5!Q329</f>
        <v>0</v>
      </c>
    </row>
    <row r="363" spans="1:17" ht="28" customHeight="1" x14ac:dyDescent="0.35">
      <c r="A363" s="45" t="s">
        <v>763</v>
      </c>
      <c r="B363" s="46" t="s">
        <v>767</v>
      </c>
      <c r="C363" s="47">
        <f>PSK_AT_verzia_4_0!C363</f>
        <v>0</v>
      </c>
      <c r="D363" s="47">
        <f>PSK_AT_verzia_4_0!D363</f>
        <v>0</v>
      </c>
      <c r="E363" s="47">
        <f>PSK_AT_verzia_4_0!E363</f>
        <v>0</v>
      </c>
      <c r="F363" s="49"/>
      <c r="G363" s="48">
        <f>PSK_AT_verzia_4_0!G363</f>
        <v>519345253</v>
      </c>
      <c r="H363" s="48">
        <f>PSK_AT_verzia_4_0!H363</f>
        <v>464677145</v>
      </c>
      <c r="I363" s="48">
        <f>PSK_AT_verzia_4_0!I363</f>
        <v>7468108</v>
      </c>
      <c r="J363" s="48">
        <f>PSK_AT_verzia_4_0!J363</f>
        <v>472145253</v>
      </c>
      <c r="K363" s="48">
        <f>PSK_AT_verzia_4_0!K363</f>
        <v>464677145</v>
      </c>
      <c r="L363" s="48">
        <f>PSK_AT_verzia_4_0!L363</f>
        <v>7468108</v>
      </c>
      <c r="M363" s="48">
        <f>PSK_AT_verzia_4_0!M363</f>
        <v>47200000</v>
      </c>
      <c r="N363" s="48">
        <f>PSK_AT_verzia_4_0!N363</f>
        <v>0</v>
      </c>
      <c r="O363" s="48">
        <f>PSK_AT_verzia_4_0!O363</f>
        <v>0</v>
      </c>
      <c r="P363" s="48">
        <f>PSK_AT_verzia_4_0!P363</f>
        <v>0</v>
      </c>
      <c r="Q363" s="48">
        <f>PSK_AT_verzia_4_0!Q363</f>
        <v>0</v>
      </c>
    </row>
    <row r="364" spans="1:17" ht="28" customHeight="1" x14ac:dyDescent="0.35">
      <c r="A364" s="228" t="s">
        <v>764</v>
      </c>
      <c r="B364" s="231" t="s">
        <v>765</v>
      </c>
      <c r="C364" s="52">
        <f>PSK_AT_verzia_4_0!C364</f>
        <v>0</v>
      </c>
      <c r="D364" s="52">
        <f>PSK_AT_verzia_4_0!D364</f>
        <v>0</v>
      </c>
      <c r="E364" s="52">
        <f>PSK_AT_verzia_4_0!E364</f>
        <v>0</v>
      </c>
      <c r="F364" s="54" t="s">
        <v>766</v>
      </c>
      <c r="G364" s="52">
        <f>PSK_AT_verzia_4_0!G364</f>
        <v>519345253</v>
      </c>
      <c r="H364" s="52">
        <f>PSK_AT_verzia_4_0!H364</f>
        <v>464677145</v>
      </c>
      <c r="I364" s="52">
        <f>PSK_AT_verzia_4_0!I364</f>
        <v>7468108</v>
      </c>
      <c r="J364" s="52">
        <f>PSK_AT_verzia_4_0!J364</f>
        <v>472145253</v>
      </c>
      <c r="K364" s="52">
        <f>PSK_AT_verzia_4_0!K364</f>
        <v>464677145</v>
      </c>
      <c r="L364" s="52">
        <f>PSK_AT_verzia_4_0!L364</f>
        <v>7468108</v>
      </c>
      <c r="M364" s="52">
        <f>PSK_AT_verzia_4_0!M364</f>
        <v>47200000</v>
      </c>
      <c r="N364" s="52">
        <f>PSK_AT_verzia_4_0!N364</f>
        <v>0</v>
      </c>
      <c r="O364" s="52">
        <f>PSK_AT_verzia_4_0!O364</f>
        <v>0</v>
      </c>
      <c r="P364" s="52">
        <f>PSK_AT_verzia_4_0!P364</f>
        <v>0</v>
      </c>
      <c r="Q364" s="52">
        <f>PSK_AT_verzia_4_0!Q364</f>
        <v>0</v>
      </c>
    </row>
    <row r="365" spans="1:17" ht="28" customHeight="1" x14ac:dyDescent="0.35">
      <c r="A365" s="229"/>
      <c r="B365" s="232"/>
      <c r="C365" s="60">
        <f>PSK_AT_verzia_4_0!C365</f>
        <v>0</v>
      </c>
      <c r="D365" s="60">
        <f>PSK_AT_verzia_4_0!D365</f>
        <v>0</v>
      </c>
      <c r="E365" s="60">
        <f>PSK_AT_verzia_4_0!E365</f>
        <v>0</v>
      </c>
      <c r="F365" s="61" t="s">
        <v>36</v>
      </c>
      <c r="G365" s="60">
        <f>PSK_AT_verzia_4_0!G365</f>
        <v>83020776</v>
      </c>
      <c r="H365" s="60">
        <f>PSK_AT_verzia_4_0!H365</f>
        <v>75552668</v>
      </c>
      <c r="I365" s="60">
        <f>PSK_AT_verzia_4_0!I365</f>
        <v>7468108</v>
      </c>
      <c r="J365" s="60">
        <f>PSK_AT_verzia_4_0!J365</f>
        <v>83020776</v>
      </c>
      <c r="K365" s="60">
        <f>PSK_AT_verzia_4_0!K365</f>
        <v>75552668</v>
      </c>
      <c r="L365" s="60">
        <f>PSK_AT_verzia_4_0!L365</f>
        <v>7468108</v>
      </c>
      <c r="M365" s="60">
        <f>PSK_AT_verzia_4_0!M365</f>
        <v>0</v>
      </c>
      <c r="N365" s="60">
        <f>PSK_AT_verzia_4_0!N365</f>
        <v>0</v>
      </c>
      <c r="O365" s="60">
        <f>PSK_AT_verzia_4_0!O365</f>
        <v>0</v>
      </c>
      <c r="P365" s="60">
        <f>PSK_AT_verzia_4_0!P365</f>
        <v>0</v>
      </c>
      <c r="Q365" s="60">
        <f>PSK_AT_verzia_4_0!Q365</f>
        <v>0</v>
      </c>
    </row>
    <row r="366" spans="1:17" ht="28" customHeight="1" x14ac:dyDescent="0.35">
      <c r="A366" s="229"/>
      <c r="B366" s="232"/>
      <c r="C366" s="199">
        <f>PSK_AT_verzia_4_0!C366</f>
        <v>0</v>
      </c>
      <c r="D366" s="200">
        <f>PSK_AT_verzia_4_0!D366</f>
        <v>0</v>
      </c>
      <c r="E366" s="200">
        <f>PSK_AT_verzia_4_0!E366</f>
        <v>0</v>
      </c>
      <c r="F366" s="66" t="s">
        <v>37</v>
      </c>
      <c r="G366" s="67">
        <f>PSK_AT_verzia_4_0!G366</f>
        <v>83020776</v>
      </c>
      <c r="H366" s="67">
        <f>PSK_AT_verzia_4_0!H366</f>
        <v>75552668</v>
      </c>
      <c r="I366" s="67">
        <f>PSK_AT_verzia_4_0!I366</f>
        <v>7468108</v>
      </c>
      <c r="J366" s="67">
        <f>PSK_AT_verzia_4_0!J366</f>
        <v>83020776</v>
      </c>
      <c r="K366" s="67">
        <f>PSK_AT_verzia_4_0!K366</f>
        <v>75552668</v>
      </c>
      <c r="L366" s="67">
        <f>PSK_AT_verzia_4_0!L366</f>
        <v>7468108</v>
      </c>
      <c r="M366" s="67">
        <f>PSK_AT_verzia_4_0!M366</f>
        <v>0</v>
      </c>
      <c r="N366" s="67">
        <f>PSK_AT_verzia_4_0!N366</f>
        <v>0</v>
      </c>
      <c r="O366" s="67">
        <f>PSK_AT_verzia_4_0!O366</f>
        <v>0</v>
      </c>
      <c r="P366" s="67">
        <f>PSK_AT_verzia_4_0!P366</f>
        <v>0</v>
      </c>
      <c r="Q366" s="67">
        <f>PSK_AT_verzia_4_0!Q366</f>
        <v>0</v>
      </c>
    </row>
    <row r="367" spans="1:17" ht="28" customHeight="1" x14ac:dyDescent="0.35">
      <c r="A367" s="229"/>
      <c r="B367" s="232"/>
      <c r="C367" s="60">
        <f>PSK_AT_verzia_4_0!C367</f>
        <v>0</v>
      </c>
      <c r="D367" s="60">
        <f>PSK_AT_verzia_4_0!D367</f>
        <v>0</v>
      </c>
      <c r="E367" s="60">
        <f>PSK_AT_verzia_4_0!E367</f>
        <v>0</v>
      </c>
      <c r="F367" s="61" t="s">
        <v>115</v>
      </c>
      <c r="G367" s="60">
        <f>PSK_AT_verzia_4_0!G367</f>
        <v>436324477</v>
      </c>
      <c r="H367" s="60">
        <f>PSK_AT_verzia_4_0!H367</f>
        <v>389124477</v>
      </c>
      <c r="I367" s="60">
        <f>PSK_AT_verzia_4_0!I367</f>
        <v>0</v>
      </c>
      <c r="J367" s="60">
        <f>PSK_AT_verzia_4_0!J367</f>
        <v>389124477</v>
      </c>
      <c r="K367" s="60">
        <f>PSK_AT_verzia_4_0!K367</f>
        <v>389124477</v>
      </c>
      <c r="L367" s="60">
        <f>PSK_AT_verzia_4_0!L367</f>
        <v>0</v>
      </c>
      <c r="M367" s="60">
        <f>PSK_AT_verzia_4_0!M367</f>
        <v>47200000</v>
      </c>
      <c r="N367" s="60">
        <f>PSK_AT_verzia_4_0!N367</f>
        <v>0</v>
      </c>
      <c r="O367" s="60">
        <f>PSK_AT_verzia_4_0!O367</f>
        <v>0</v>
      </c>
      <c r="P367" s="60">
        <f>PSK_AT_verzia_4_0!P367</f>
        <v>0</v>
      </c>
      <c r="Q367" s="60">
        <f>PSK_AT_verzia_4_0!Q367</f>
        <v>0</v>
      </c>
    </row>
    <row r="368" spans="1:17" ht="28" customHeight="1" x14ac:dyDescent="0.35">
      <c r="A368" s="230"/>
      <c r="B368" s="233"/>
      <c r="C368" s="199">
        <f>PSK_AT_verzia_4_0!C368</f>
        <v>0</v>
      </c>
      <c r="D368" s="200">
        <f>PSK_AT_verzia_4_0!D368</f>
        <v>0</v>
      </c>
      <c r="E368" s="200">
        <f>PSK_AT_verzia_4_0!E368</f>
        <v>0</v>
      </c>
      <c r="F368" s="66" t="s">
        <v>116</v>
      </c>
      <c r="G368" s="67">
        <f>PSK_AT_verzia_4_0!G368</f>
        <v>436324477</v>
      </c>
      <c r="H368" s="67">
        <f>PSK_AT_verzia_4_0!H368</f>
        <v>389124477</v>
      </c>
      <c r="I368" s="67">
        <f>PSK_AT_verzia_4_0!I368</f>
        <v>0</v>
      </c>
      <c r="J368" s="67">
        <f>PSK_AT_verzia_4_0!J368</f>
        <v>389124477</v>
      </c>
      <c r="K368" s="67">
        <f>PSK_AT_verzia_4_0!K368</f>
        <v>389124477</v>
      </c>
      <c r="L368" s="67">
        <f>PSK_AT_verzia_4_0!L368</f>
        <v>0</v>
      </c>
      <c r="M368" s="67">
        <f>PSK_AT_verzia_4_0!M368</f>
        <v>47200000</v>
      </c>
      <c r="N368" s="67">
        <f>PSK_AT_verzia_4_0!N368</f>
        <v>0</v>
      </c>
      <c r="O368" s="67">
        <f>PSK_AT_verzia_4_0!O368</f>
        <v>0</v>
      </c>
      <c r="P368" s="67">
        <f>PSK_AT_verzia_4_0!P368</f>
        <v>0</v>
      </c>
      <c r="Q368" s="67">
        <f>PSK_AT_verzia_4_0!Q368</f>
        <v>0</v>
      </c>
    </row>
    <row r="369" spans="1:21" s="111" customFormat="1" ht="52" x14ac:dyDescent="0.35">
      <c r="A369" s="39" t="s">
        <v>314</v>
      </c>
      <c r="B369" s="40" t="s">
        <v>315</v>
      </c>
      <c r="C369" s="41">
        <f>PSK_AT_verzia_4_0!C369-PSK_AT_verzia_3_5!C330</f>
        <v>-6651239</v>
      </c>
      <c r="D369" s="41">
        <f>PSK_AT_verzia_4_0!D369-PSK_AT_verzia_3_5!D330</f>
        <v>3700000</v>
      </c>
      <c r="E369" s="41">
        <f>PSK_AT_verzia_4_0!E369-PSK_AT_verzia_3_5!E330</f>
        <v>20000000</v>
      </c>
      <c r="F369" s="42"/>
      <c r="G369" s="42">
        <f>PSK_AT_verzia_4_0!G369-PSK_AT_verzia_3_5!G330</f>
        <v>-104962127</v>
      </c>
      <c r="H369" s="42">
        <f>PSK_AT_verzia_4_0!H369-PSK_AT_verzia_3_5!H330</f>
        <v>-115262127</v>
      </c>
      <c r="I369" s="42">
        <f>PSK_AT_verzia_4_0!I369-PSK_AT_verzia_3_5!I330</f>
        <v>10300000</v>
      </c>
      <c r="J369" s="42">
        <f>PSK_AT_verzia_4_0!J369-PSK_AT_verzia_3_5!J330</f>
        <v>-139760992</v>
      </c>
      <c r="K369" s="42">
        <f>PSK_AT_verzia_4_0!K369-PSK_AT_verzia_3_5!K330</f>
        <v>-150060992</v>
      </c>
      <c r="L369" s="42">
        <f>PSK_AT_verzia_4_0!L369-PSK_AT_verzia_3_5!L330</f>
        <v>10300000</v>
      </c>
      <c r="M369" s="42">
        <f>PSK_AT_verzia_4_0!M369-PSK_AT_verzia_3_5!M330</f>
        <v>0</v>
      </c>
      <c r="N369" s="42">
        <f>PSK_AT_verzia_4_0!N369-PSK_AT_verzia_3_5!N330</f>
        <v>34798865</v>
      </c>
      <c r="O369" s="42">
        <f>PSK_AT_verzia_4_0!O369-PSK_AT_verzia_3_5!O330</f>
        <v>34798865</v>
      </c>
      <c r="P369" s="42">
        <f>PSK_AT_verzia_4_0!P369-PSK_AT_verzia_3_5!P330</f>
        <v>0</v>
      </c>
      <c r="Q369" s="42">
        <f>PSK_AT_verzia_4_0!Q369-PSK_AT_verzia_3_5!Q330</f>
        <v>0</v>
      </c>
    </row>
    <row r="370" spans="1:21" ht="28.5" x14ac:dyDescent="0.35">
      <c r="A370" s="45" t="s">
        <v>316</v>
      </c>
      <c r="B370" s="46" t="s">
        <v>317</v>
      </c>
      <c r="C370" s="47">
        <f>PSK_AT_verzia_4_0!C370-PSK_AT_verzia_3_5!C331</f>
        <v>-2272380</v>
      </c>
      <c r="D370" s="47">
        <f>PSK_AT_verzia_4_0!D370-PSK_AT_verzia_3_5!D331</f>
        <v>0</v>
      </c>
      <c r="E370" s="47">
        <f>PSK_AT_verzia_4_0!E370-PSK_AT_verzia_3_5!E331</f>
        <v>0</v>
      </c>
      <c r="F370" s="49"/>
      <c r="G370" s="48">
        <f>PSK_AT_verzia_4_0!G370-PSK_AT_verzia_3_5!G331</f>
        <v>-11831535</v>
      </c>
      <c r="H370" s="48">
        <f>PSK_AT_verzia_4_0!H370-PSK_AT_verzia_3_5!H331</f>
        <v>-11361353</v>
      </c>
      <c r="I370" s="48">
        <f>PSK_AT_verzia_4_0!I370-PSK_AT_verzia_3_5!I331</f>
        <v>-470182</v>
      </c>
      <c r="J370" s="48">
        <f>PSK_AT_verzia_4_0!J370-PSK_AT_verzia_3_5!J331</f>
        <v>-12162612</v>
      </c>
      <c r="K370" s="48">
        <f>PSK_AT_verzia_4_0!K370-PSK_AT_verzia_3_5!K331</f>
        <v>-15183641</v>
      </c>
      <c r="L370" s="48">
        <f>PSK_AT_verzia_4_0!L370-PSK_AT_verzia_3_5!L331</f>
        <v>3021029</v>
      </c>
      <c r="M370" s="48">
        <f>PSK_AT_verzia_4_0!M370-PSK_AT_verzia_3_5!M331</f>
        <v>0</v>
      </c>
      <c r="N370" s="48">
        <f>PSK_AT_verzia_4_0!N370-PSK_AT_verzia_3_5!N331</f>
        <v>331077</v>
      </c>
      <c r="O370" s="48">
        <f>PSK_AT_verzia_4_0!O370-PSK_AT_verzia_3_5!O331</f>
        <v>3822288</v>
      </c>
      <c r="P370" s="48">
        <f>PSK_AT_verzia_4_0!P370-PSK_AT_verzia_3_5!P331</f>
        <v>-3491211</v>
      </c>
      <c r="Q370" s="48">
        <f>PSK_AT_verzia_4_0!Q370-PSK_AT_verzia_3_5!Q331</f>
        <v>0</v>
      </c>
    </row>
    <row r="371" spans="1:21" ht="126" customHeight="1" x14ac:dyDescent="0.35">
      <c r="A371" s="241" t="s">
        <v>318</v>
      </c>
      <c r="B371" s="249" t="s">
        <v>319</v>
      </c>
      <c r="C371" s="52">
        <f>PSK_AT_verzia_4_0!C371-PSK_AT_verzia_3_5!C332</f>
        <v>0</v>
      </c>
      <c r="D371" s="52">
        <f>PSK_AT_verzia_4_0!D371-PSK_AT_verzia_3_5!D332</f>
        <v>0</v>
      </c>
      <c r="E371" s="52">
        <f>PSK_AT_verzia_4_0!E371-PSK_AT_verzia_3_5!E332</f>
        <v>0</v>
      </c>
      <c r="F371" s="54" t="s">
        <v>320</v>
      </c>
      <c r="G371" s="52">
        <f>PSK_AT_verzia_4_0!G371-PSK_AT_verzia_3_5!G332</f>
        <v>-21709352</v>
      </c>
      <c r="H371" s="52">
        <f>PSK_AT_verzia_4_0!H371-PSK_AT_verzia_3_5!H332</f>
        <v>-22813962</v>
      </c>
      <c r="I371" s="52">
        <f>PSK_AT_verzia_4_0!I371-PSK_AT_verzia_3_5!I332</f>
        <v>1104610</v>
      </c>
      <c r="J371" s="52">
        <f>PSK_AT_verzia_4_0!J371-PSK_AT_verzia_3_5!J332</f>
        <v>0</v>
      </c>
      <c r="K371" s="52">
        <f>PSK_AT_verzia_4_0!K371-PSK_AT_verzia_3_5!K332</f>
        <v>0</v>
      </c>
      <c r="L371" s="52">
        <f>PSK_AT_verzia_4_0!L371-PSK_AT_verzia_3_5!L332</f>
        <v>0</v>
      </c>
      <c r="M371" s="52">
        <f>PSK_AT_verzia_4_0!M371-PSK_AT_verzia_3_5!M332</f>
        <v>0</v>
      </c>
      <c r="N371" s="52">
        <f>PSK_AT_verzia_4_0!N371-PSK_AT_verzia_3_5!N332</f>
        <v>-21709352</v>
      </c>
      <c r="O371" s="52">
        <f>PSK_AT_verzia_4_0!O371-PSK_AT_verzia_3_5!O332</f>
        <v>-22813962</v>
      </c>
      <c r="P371" s="52">
        <f>PSK_AT_verzia_4_0!P371-PSK_AT_verzia_3_5!P332</f>
        <v>1104610</v>
      </c>
      <c r="Q371" s="52">
        <f>PSK_AT_verzia_4_0!Q371-PSK_AT_verzia_3_5!Q332</f>
        <v>0</v>
      </c>
    </row>
    <row r="372" spans="1:21" ht="28" customHeight="1" x14ac:dyDescent="0.35">
      <c r="A372" s="241"/>
      <c r="B372" s="249"/>
      <c r="C372" s="60">
        <f>PSK_AT_verzia_4_0!C372-PSK_AT_verzia_3_5!C333</f>
        <v>0</v>
      </c>
      <c r="D372" s="112">
        <f>PSK_AT_verzia_4_0!D372-PSK_AT_verzia_3_5!D333</f>
        <v>0</v>
      </c>
      <c r="E372" s="60">
        <f>PSK_AT_verzia_4_0!E372-PSK_AT_verzia_3_5!E333</f>
        <v>0</v>
      </c>
      <c r="F372" s="61" t="s">
        <v>321</v>
      </c>
      <c r="G372" s="60">
        <f>PSK_AT_verzia_4_0!G372-PSK_AT_verzia_3_5!G333</f>
        <v>-21709352</v>
      </c>
      <c r="H372" s="60">
        <f>PSK_AT_verzia_4_0!H372-PSK_AT_verzia_3_5!H333</f>
        <v>-22813962</v>
      </c>
      <c r="I372" s="60">
        <f>PSK_AT_verzia_4_0!I372-PSK_AT_verzia_3_5!I333</f>
        <v>1104610</v>
      </c>
      <c r="J372" s="60">
        <f>PSK_AT_verzia_4_0!J372-PSK_AT_verzia_3_5!J333</f>
        <v>0</v>
      </c>
      <c r="K372" s="60">
        <f>PSK_AT_verzia_4_0!K372-PSK_AT_verzia_3_5!K333</f>
        <v>0</v>
      </c>
      <c r="L372" s="60">
        <f>PSK_AT_verzia_4_0!L372-PSK_AT_verzia_3_5!L333</f>
        <v>0</v>
      </c>
      <c r="M372" s="60">
        <f>PSK_AT_verzia_4_0!M372-PSK_AT_verzia_3_5!M333</f>
        <v>0</v>
      </c>
      <c r="N372" s="60">
        <f>PSK_AT_verzia_4_0!N372-PSK_AT_verzia_3_5!N333</f>
        <v>-21709352</v>
      </c>
      <c r="O372" s="60">
        <f>PSK_AT_verzia_4_0!O372-PSK_AT_verzia_3_5!O333</f>
        <v>-22813962</v>
      </c>
      <c r="P372" s="60">
        <f>PSK_AT_verzia_4_0!P372-PSK_AT_verzia_3_5!P333</f>
        <v>1104610</v>
      </c>
      <c r="Q372" s="60">
        <f>PSK_AT_verzia_4_0!Q372-PSK_AT_verzia_3_5!Q333</f>
        <v>0</v>
      </c>
      <c r="U372" s="113"/>
    </row>
    <row r="373" spans="1:21" ht="28" customHeight="1" x14ac:dyDescent="0.35">
      <c r="A373" s="241"/>
      <c r="B373" s="249"/>
      <c r="C373" s="200">
        <f>PSK_AT_verzia_4_0!C373-PSK_AT_verzia_3_5!C334</f>
        <v>0</v>
      </c>
      <c r="D373" s="200">
        <f>PSK_AT_verzia_4_0!D373-PSK_AT_verzia_3_5!D334</f>
        <v>0</v>
      </c>
      <c r="E373" s="200">
        <f>PSK_AT_verzia_4_0!E373-PSK_AT_verzia_3_5!E334</f>
        <v>0</v>
      </c>
      <c r="F373" s="66" t="s">
        <v>322</v>
      </c>
      <c r="G373" s="67">
        <f>PSK_AT_verzia_4_0!G373-PSK_AT_verzia_3_5!G334</f>
        <v>-21709352</v>
      </c>
      <c r="H373" s="67">
        <f>PSK_AT_verzia_4_0!H373-PSK_AT_verzia_3_5!H334</f>
        <v>-22813962</v>
      </c>
      <c r="I373" s="67">
        <f>PSK_AT_verzia_4_0!I373-PSK_AT_verzia_3_5!I334</f>
        <v>1104610</v>
      </c>
      <c r="J373" s="67">
        <f>PSK_AT_verzia_4_0!J373-PSK_AT_verzia_3_5!J334</f>
        <v>0</v>
      </c>
      <c r="K373" s="67">
        <f>PSK_AT_verzia_4_0!K373-PSK_AT_verzia_3_5!K334</f>
        <v>0</v>
      </c>
      <c r="L373" s="67">
        <f>PSK_AT_verzia_4_0!L373-PSK_AT_verzia_3_5!L334</f>
        <v>0</v>
      </c>
      <c r="M373" s="67">
        <f>PSK_AT_verzia_4_0!M373-PSK_AT_verzia_3_5!M334</f>
        <v>0</v>
      </c>
      <c r="N373" s="67">
        <f>PSK_AT_verzia_4_0!N373-PSK_AT_verzia_3_5!N334</f>
        <v>-21709352</v>
      </c>
      <c r="O373" s="67">
        <f>PSK_AT_verzia_4_0!O373-PSK_AT_verzia_3_5!O334</f>
        <v>-22813962</v>
      </c>
      <c r="P373" s="67">
        <f>PSK_AT_verzia_4_0!P373-PSK_AT_verzia_3_5!P334</f>
        <v>1104610</v>
      </c>
      <c r="Q373" s="67">
        <f>PSK_AT_verzia_4_0!Q373-PSK_AT_verzia_3_5!Q334</f>
        <v>0</v>
      </c>
    </row>
    <row r="374" spans="1:21" ht="28" customHeight="1" x14ac:dyDescent="0.35">
      <c r="A374" s="241"/>
      <c r="B374" s="249"/>
      <c r="C374" s="200">
        <f>PSK_AT_verzia_4_0!C374-PSK_AT_verzia_3_5!C335</f>
        <v>0</v>
      </c>
      <c r="D374" s="200">
        <f>PSK_AT_verzia_4_0!D374-PSK_AT_verzia_3_5!D335</f>
        <v>0</v>
      </c>
      <c r="E374" s="200">
        <f>PSK_AT_verzia_4_0!E374-PSK_AT_verzia_3_5!E335</f>
        <v>0</v>
      </c>
      <c r="F374" s="66" t="s">
        <v>323</v>
      </c>
      <c r="G374" s="103">
        <f>PSK_AT_verzia_4_0!G374-PSK_AT_verzia_3_5!G335</f>
        <v>0</v>
      </c>
      <c r="H374" s="103">
        <f>PSK_AT_verzia_4_0!H374-PSK_AT_verzia_3_5!H335</f>
        <v>0</v>
      </c>
      <c r="I374" s="103">
        <f>PSK_AT_verzia_4_0!I374-PSK_AT_verzia_3_5!I335</f>
        <v>0</v>
      </c>
      <c r="J374" s="103">
        <f>PSK_AT_verzia_4_0!J374-PSK_AT_verzia_3_5!J335</f>
        <v>0</v>
      </c>
      <c r="K374" s="103">
        <f>PSK_AT_verzia_4_0!K374-PSK_AT_verzia_3_5!K335</f>
        <v>0</v>
      </c>
      <c r="L374" s="103">
        <f>PSK_AT_verzia_4_0!L374-PSK_AT_verzia_3_5!L335</f>
        <v>0</v>
      </c>
      <c r="M374" s="103">
        <f>PSK_AT_verzia_4_0!M374-PSK_AT_verzia_3_5!M335</f>
        <v>0</v>
      </c>
      <c r="N374" s="103">
        <f>PSK_AT_verzia_4_0!N374-PSK_AT_verzia_3_5!N335</f>
        <v>0</v>
      </c>
      <c r="O374" s="103">
        <f>PSK_AT_verzia_4_0!O374-PSK_AT_verzia_3_5!O335</f>
        <v>0</v>
      </c>
      <c r="P374" s="103">
        <f>PSK_AT_verzia_4_0!P374-PSK_AT_verzia_3_5!P335</f>
        <v>0</v>
      </c>
      <c r="Q374" s="103">
        <f>PSK_AT_verzia_4_0!Q374-PSK_AT_verzia_3_5!Q335</f>
        <v>0</v>
      </c>
    </row>
    <row r="375" spans="1:21" ht="107.5" customHeight="1" x14ac:dyDescent="0.35">
      <c r="A375" s="241" t="s">
        <v>324</v>
      </c>
      <c r="B375" s="249" t="s">
        <v>325</v>
      </c>
      <c r="C375" s="52">
        <f>PSK_AT_verzia_4_0!C375-PSK_AT_verzia_3_5!C336</f>
        <v>0</v>
      </c>
      <c r="D375" s="52">
        <f>PSK_AT_verzia_4_0!D375-PSK_AT_verzia_3_5!D336</f>
        <v>0</v>
      </c>
      <c r="E375" s="52">
        <f>PSK_AT_verzia_4_0!E375-PSK_AT_verzia_3_5!E336</f>
        <v>0</v>
      </c>
      <c r="F375" s="54" t="s">
        <v>326</v>
      </c>
      <c r="G375" s="52">
        <f>PSK_AT_verzia_4_0!G375-PSK_AT_verzia_3_5!G336</f>
        <v>17270590</v>
      </c>
      <c r="H375" s="52">
        <f>PSK_AT_verzia_4_0!H375-PSK_AT_verzia_3_5!H336</f>
        <v>17270590</v>
      </c>
      <c r="I375" s="52">
        <f>PSK_AT_verzia_4_0!I375-PSK_AT_verzia_3_5!I336</f>
        <v>0</v>
      </c>
      <c r="J375" s="52">
        <f>PSK_AT_verzia_4_0!J375-PSK_AT_verzia_3_5!J336</f>
        <v>0</v>
      </c>
      <c r="K375" s="52">
        <f>PSK_AT_verzia_4_0!K375-PSK_AT_verzia_3_5!K336</f>
        <v>0</v>
      </c>
      <c r="L375" s="52">
        <f>PSK_AT_verzia_4_0!L375-PSK_AT_verzia_3_5!L336</f>
        <v>0</v>
      </c>
      <c r="M375" s="52">
        <f>PSK_AT_verzia_4_0!M375-PSK_AT_verzia_3_5!M336</f>
        <v>0</v>
      </c>
      <c r="N375" s="52">
        <f>PSK_AT_verzia_4_0!N375-PSK_AT_verzia_3_5!N336</f>
        <v>17270590</v>
      </c>
      <c r="O375" s="52">
        <f>PSK_AT_verzia_4_0!O375-PSK_AT_verzia_3_5!O336</f>
        <v>17270590</v>
      </c>
      <c r="P375" s="52">
        <f>PSK_AT_verzia_4_0!P375-PSK_AT_verzia_3_5!P336</f>
        <v>0</v>
      </c>
      <c r="Q375" s="52">
        <f>PSK_AT_verzia_4_0!Q375-PSK_AT_verzia_3_5!Q336</f>
        <v>0</v>
      </c>
    </row>
    <row r="376" spans="1:21" ht="28" customHeight="1" x14ac:dyDescent="0.35">
      <c r="A376" s="241"/>
      <c r="B376" s="249"/>
      <c r="C376" s="60">
        <f>PSK_AT_verzia_4_0!C376-PSK_AT_verzia_3_5!C337</f>
        <v>0</v>
      </c>
      <c r="D376" s="60">
        <f>PSK_AT_verzia_4_0!D376-PSK_AT_verzia_3_5!D337</f>
        <v>0</v>
      </c>
      <c r="E376" s="60">
        <f>PSK_AT_verzia_4_0!E376-PSK_AT_verzia_3_5!E337</f>
        <v>0</v>
      </c>
      <c r="F376" s="61" t="s">
        <v>321</v>
      </c>
      <c r="G376" s="60">
        <f>PSK_AT_verzia_4_0!G376-PSK_AT_verzia_3_5!G337</f>
        <v>17270590</v>
      </c>
      <c r="H376" s="60">
        <f>PSK_AT_verzia_4_0!H376-PSK_AT_verzia_3_5!H337</f>
        <v>17270590</v>
      </c>
      <c r="I376" s="60">
        <f>PSK_AT_verzia_4_0!I376-PSK_AT_verzia_3_5!I337</f>
        <v>0</v>
      </c>
      <c r="J376" s="60">
        <f>PSK_AT_verzia_4_0!J376-PSK_AT_verzia_3_5!J337</f>
        <v>0</v>
      </c>
      <c r="K376" s="60">
        <f>PSK_AT_verzia_4_0!K376-PSK_AT_verzia_3_5!K337</f>
        <v>0</v>
      </c>
      <c r="L376" s="60">
        <f>PSK_AT_verzia_4_0!L376-PSK_AT_verzia_3_5!L337</f>
        <v>0</v>
      </c>
      <c r="M376" s="60">
        <f>PSK_AT_verzia_4_0!M376-PSK_AT_verzia_3_5!M337</f>
        <v>0</v>
      </c>
      <c r="N376" s="60">
        <f>PSK_AT_verzia_4_0!N376-PSK_AT_verzia_3_5!N337</f>
        <v>17270590</v>
      </c>
      <c r="O376" s="60">
        <f>PSK_AT_verzia_4_0!O376-PSK_AT_verzia_3_5!O337</f>
        <v>17270590</v>
      </c>
      <c r="P376" s="60">
        <f>PSK_AT_verzia_4_0!P376-PSK_AT_verzia_3_5!P337</f>
        <v>0</v>
      </c>
      <c r="Q376" s="60">
        <f>PSK_AT_verzia_4_0!Q376-PSK_AT_verzia_3_5!Q337</f>
        <v>0</v>
      </c>
    </row>
    <row r="377" spans="1:21" ht="28" customHeight="1" x14ac:dyDescent="0.35">
      <c r="A377" s="241"/>
      <c r="B377" s="249"/>
      <c r="C377" s="200">
        <f>PSK_AT_verzia_4_0!C377-PSK_AT_verzia_3_5!C338</f>
        <v>0</v>
      </c>
      <c r="D377" s="200">
        <f>PSK_AT_verzia_4_0!D377-PSK_AT_verzia_3_5!D338</f>
        <v>0</v>
      </c>
      <c r="E377" s="200">
        <f>PSK_AT_verzia_4_0!E377-PSK_AT_verzia_3_5!E338</f>
        <v>0</v>
      </c>
      <c r="F377" s="66" t="s">
        <v>322</v>
      </c>
      <c r="G377" s="67">
        <f>PSK_AT_verzia_4_0!G377-PSK_AT_verzia_3_5!G338</f>
        <v>17270590</v>
      </c>
      <c r="H377" s="67">
        <f>PSK_AT_verzia_4_0!H377-PSK_AT_verzia_3_5!H338</f>
        <v>17270590</v>
      </c>
      <c r="I377" s="67">
        <f>PSK_AT_verzia_4_0!I377-PSK_AT_verzia_3_5!I338</f>
        <v>0</v>
      </c>
      <c r="J377" s="67">
        <f>PSK_AT_verzia_4_0!J377-PSK_AT_verzia_3_5!J338</f>
        <v>0</v>
      </c>
      <c r="K377" s="67">
        <f>PSK_AT_verzia_4_0!K377-PSK_AT_verzia_3_5!K338</f>
        <v>0</v>
      </c>
      <c r="L377" s="67">
        <f>PSK_AT_verzia_4_0!L377-PSK_AT_verzia_3_5!L338</f>
        <v>0</v>
      </c>
      <c r="M377" s="67">
        <f>PSK_AT_verzia_4_0!M377-PSK_AT_verzia_3_5!M338</f>
        <v>0</v>
      </c>
      <c r="N377" s="67">
        <f>PSK_AT_verzia_4_0!N377-PSK_AT_verzia_3_5!N338</f>
        <v>17270590</v>
      </c>
      <c r="O377" s="67">
        <f>PSK_AT_verzia_4_0!O377-PSK_AT_verzia_3_5!O338</f>
        <v>17270590</v>
      </c>
      <c r="P377" s="67">
        <f>PSK_AT_verzia_4_0!P377-PSK_AT_verzia_3_5!P338</f>
        <v>0</v>
      </c>
      <c r="Q377" s="67">
        <f>PSK_AT_verzia_4_0!Q377-PSK_AT_verzia_3_5!Q338</f>
        <v>0</v>
      </c>
    </row>
    <row r="378" spans="1:21" ht="73.5" customHeight="1" x14ac:dyDescent="0.35">
      <c r="A378" s="241" t="s">
        <v>327</v>
      </c>
      <c r="B378" s="249" t="s">
        <v>328</v>
      </c>
      <c r="C378" s="52">
        <f>PSK_AT_verzia_4_0!C378-PSK_AT_verzia_3_5!C339</f>
        <v>0</v>
      </c>
      <c r="D378" s="52">
        <f>PSK_AT_verzia_4_0!D378-PSK_AT_verzia_3_5!D339</f>
        <v>0</v>
      </c>
      <c r="E378" s="52">
        <f>PSK_AT_verzia_4_0!E378-PSK_AT_verzia_3_5!E339</f>
        <v>0</v>
      </c>
      <c r="F378" s="54" t="s">
        <v>329</v>
      </c>
      <c r="G378" s="52">
        <f>PSK_AT_verzia_4_0!G378-PSK_AT_verzia_3_5!G339</f>
        <v>1990809</v>
      </c>
      <c r="H378" s="52">
        <f>PSK_AT_verzia_4_0!H378-PSK_AT_verzia_3_5!H339</f>
        <v>6678220</v>
      </c>
      <c r="I378" s="52">
        <f>PSK_AT_verzia_4_0!I378-PSK_AT_verzia_3_5!I339</f>
        <v>-4687411</v>
      </c>
      <c r="J378" s="52">
        <f>PSK_AT_verzia_4_0!J378-PSK_AT_verzia_3_5!J339</f>
        <v>0</v>
      </c>
      <c r="K378" s="52">
        <f>PSK_AT_verzia_4_0!K378-PSK_AT_verzia_3_5!K339</f>
        <v>0</v>
      </c>
      <c r="L378" s="52">
        <f>PSK_AT_verzia_4_0!L378-PSK_AT_verzia_3_5!L339</f>
        <v>0</v>
      </c>
      <c r="M378" s="52">
        <f>PSK_AT_verzia_4_0!M378-PSK_AT_verzia_3_5!M339</f>
        <v>0</v>
      </c>
      <c r="N378" s="52">
        <f>PSK_AT_verzia_4_0!N378-PSK_AT_verzia_3_5!N339</f>
        <v>1990809</v>
      </c>
      <c r="O378" s="52">
        <f>PSK_AT_verzia_4_0!O378-PSK_AT_verzia_3_5!O339</f>
        <v>6678220</v>
      </c>
      <c r="P378" s="52">
        <f>PSK_AT_verzia_4_0!P378-PSK_AT_verzia_3_5!P339</f>
        <v>-4687411</v>
      </c>
      <c r="Q378" s="52">
        <f>PSK_AT_verzia_4_0!Q378-PSK_AT_verzia_3_5!Q339</f>
        <v>0</v>
      </c>
      <c r="T378" s="113"/>
    </row>
    <row r="379" spans="1:21" ht="28" customHeight="1" x14ac:dyDescent="0.35">
      <c r="A379" s="241"/>
      <c r="B379" s="249"/>
      <c r="C379" s="60">
        <f>PSK_AT_verzia_4_0!C379-PSK_AT_verzia_3_5!C340</f>
        <v>0</v>
      </c>
      <c r="D379" s="60">
        <f>PSK_AT_verzia_4_0!D379-PSK_AT_verzia_3_5!D340</f>
        <v>0</v>
      </c>
      <c r="E379" s="60">
        <f>PSK_AT_verzia_4_0!E379-PSK_AT_verzia_3_5!E340</f>
        <v>0</v>
      </c>
      <c r="F379" s="61" t="s">
        <v>321</v>
      </c>
      <c r="G379" s="60">
        <f>PSK_AT_verzia_4_0!G379-PSK_AT_verzia_3_5!G340</f>
        <v>1990809</v>
      </c>
      <c r="H379" s="60">
        <f>PSK_AT_verzia_4_0!H379-PSK_AT_verzia_3_5!H340</f>
        <v>6678220</v>
      </c>
      <c r="I379" s="60">
        <f>PSK_AT_verzia_4_0!I379-PSK_AT_verzia_3_5!I340</f>
        <v>-4687411</v>
      </c>
      <c r="J379" s="60">
        <f>PSK_AT_verzia_4_0!J379-PSK_AT_verzia_3_5!J340</f>
        <v>0</v>
      </c>
      <c r="K379" s="60">
        <f>PSK_AT_verzia_4_0!K379-PSK_AT_verzia_3_5!K340</f>
        <v>0</v>
      </c>
      <c r="L379" s="60">
        <f>PSK_AT_verzia_4_0!L379-PSK_AT_verzia_3_5!L340</f>
        <v>0</v>
      </c>
      <c r="M379" s="60">
        <f>PSK_AT_verzia_4_0!M379-PSK_AT_verzia_3_5!M340</f>
        <v>0</v>
      </c>
      <c r="N379" s="60">
        <f>PSK_AT_verzia_4_0!N379-PSK_AT_verzia_3_5!N340</f>
        <v>1990809</v>
      </c>
      <c r="O379" s="60">
        <f>PSK_AT_verzia_4_0!O379-PSK_AT_verzia_3_5!O340</f>
        <v>6678220</v>
      </c>
      <c r="P379" s="60">
        <f>PSK_AT_verzia_4_0!P379-PSK_AT_verzia_3_5!P340</f>
        <v>-4687411</v>
      </c>
      <c r="Q379" s="60">
        <f>PSK_AT_verzia_4_0!Q379-PSK_AT_verzia_3_5!Q340</f>
        <v>0</v>
      </c>
    </row>
    <row r="380" spans="1:21" ht="28" customHeight="1" x14ac:dyDescent="0.35">
      <c r="A380" s="241"/>
      <c r="B380" s="249"/>
      <c r="C380" s="200">
        <f>PSK_AT_verzia_4_0!C380-PSK_AT_verzia_3_5!C341</f>
        <v>0</v>
      </c>
      <c r="D380" s="200">
        <f>PSK_AT_verzia_4_0!D380-PSK_AT_verzia_3_5!D341</f>
        <v>0</v>
      </c>
      <c r="E380" s="200">
        <f>PSK_AT_verzia_4_0!E380-PSK_AT_verzia_3_5!E341</f>
        <v>0</v>
      </c>
      <c r="F380" s="66" t="s">
        <v>322</v>
      </c>
      <c r="G380" s="67">
        <f>PSK_AT_verzia_4_0!G380-PSK_AT_verzia_3_5!G341</f>
        <v>1990809</v>
      </c>
      <c r="H380" s="67">
        <f>PSK_AT_verzia_4_0!H380-PSK_AT_verzia_3_5!H341</f>
        <v>6678220</v>
      </c>
      <c r="I380" s="67">
        <f>PSK_AT_verzia_4_0!I380-PSK_AT_verzia_3_5!I341</f>
        <v>-4687411</v>
      </c>
      <c r="J380" s="67">
        <f>PSK_AT_verzia_4_0!J380-PSK_AT_verzia_3_5!J341</f>
        <v>0</v>
      </c>
      <c r="K380" s="67">
        <f>PSK_AT_verzia_4_0!K380-PSK_AT_verzia_3_5!K341</f>
        <v>0</v>
      </c>
      <c r="L380" s="67">
        <f>PSK_AT_verzia_4_0!L380-PSK_AT_verzia_3_5!L341</f>
        <v>0</v>
      </c>
      <c r="M380" s="67">
        <f>PSK_AT_verzia_4_0!M380-PSK_AT_verzia_3_5!M341</f>
        <v>0</v>
      </c>
      <c r="N380" s="67">
        <f>PSK_AT_verzia_4_0!N380-PSK_AT_verzia_3_5!N341</f>
        <v>1990809</v>
      </c>
      <c r="O380" s="67">
        <f>PSK_AT_verzia_4_0!O380-PSK_AT_verzia_3_5!O341</f>
        <v>6678220</v>
      </c>
      <c r="P380" s="67">
        <f>PSK_AT_verzia_4_0!P380-PSK_AT_verzia_3_5!P341</f>
        <v>-4687411</v>
      </c>
      <c r="Q380" s="67">
        <f>PSK_AT_verzia_4_0!Q380-PSK_AT_verzia_3_5!Q341</f>
        <v>0</v>
      </c>
    </row>
    <row r="381" spans="1:21" ht="73.5" customHeight="1" x14ac:dyDescent="0.35">
      <c r="A381" s="241" t="s">
        <v>330</v>
      </c>
      <c r="B381" s="249" t="s">
        <v>331</v>
      </c>
      <c r="C381" s="52">
        <f>PSK_AT_verzia_4_0!C381-PSK_AT_verzia_3_5!C342</f>
        <v>0</v>
      </c>
      <c r="D381" s="52">
        <f>PSK_AT_verzia_4_0!D381-PSK_AT_verzia_3_5!D342</f>
        <v>0</v>
      </c>
      <c r="E381" s="52">
        <f>PSK_AT_verzia_4_0!E381-PSK_AT_verzia_3_5!E342</f>
        <v>0</v>
      </c>
      <c r="F381" s="54" t="s">
        <v>332</v>
      </c>
      <c r="G381" s="52">
        <f>PSK_AT_verzia_4_0!G381-PSK_AT_verzia_3_5!G342</f>
        <v>2779030</v>
      </c>
      <c r="H381" s="52">
        <f>PSK_AT_verzia_4_0!H381-PSK_AT_verzia_3_5!H342</f>
        <v>2687440</v>
      </c>
      <c r="I381" s="52">
        <f>PSK_AT_verzia_4_0!I381-PSK_AT_verzia_3_5!I342</f>
        <v>91590</v>
      </c>
      <c r="J381" s="52">
        <f>PSK_AT_verzia_4_0!J381-PSK_AT_verzia_3_5!J342</f>
        <v>0</v>
      </c>
      <c r="K381" s="52">
        <f>PSK_AT_verzia_4_0!K381-PSK_AT_verzia_3_5!K342</f>
        <v>0</v>
      </c>
      <c r="L381" s="52">
        <f>PSK_AT_verzia_4_0!L381-PSK_AT_verzia_3_5!L342</f>
        <v>0</v>
      </c>
      <c r="M381" s="52">
        <f>PSK_AT_verzia_4_0!M381-PSK_AT_verzia_3_5!M342</f>
        <v>0</v>
      </c>
      <c r="N381" s="52">
        <f>PSK_AT_verzia_4_0!N381-PSK_AT_verzia_3_5!N342</f>
        <v>2779030</v>
      </c>
      <c r="O381" s="52">
        <f>PSK_AT_verzia_4_0!O381-PSK_AT_verzia_3_5!O342</f>
        <v>2687440</v>
      </c>
      <c r="P381" s="52">
        <f>PSK_AT_verzia_4_0!P381-PSK_AT_verzia_3_5!P342</f>
        <v>91590</v>
      </c>
      <c r="Q381" s="52">
        <f>PSK_AT_verzia_4_0!Q381-PSK_AT_verzia_3_5!Q342</f>
        <v>0</v>
      </c>
    </row>
    <row r="382" spans="1:21" ht="28" customHeight="1" x14ac:dyDescent="0.35">
      <c r="A382" s="241"/>
      <c r="B382" s="249"/>
      <c r="C382" s="60">
        <f>PSK_AT_verzia_4_0!C382-PSK_AT_verzia_3_5!C343</f>
        <v>0</v>
      </c>
      <c r="D382" s="60">
        <f>PSK_AT_verzia_4_0!D382-PSK_AT_verzia_3_5!D343</f>
        <v>0</v>
      </c>
      <c r="E382" s="60">
        <f>PSK_AT_verzia_4_0!E382-PSK_AT_verzia_3_5!E343</f>
        <v>0</v>
      </c>
      <c r="F382" s="61" t="s">
        <v>321</v>
      </c>
      <c r="G382" s="60">
        <f>PSK_AT_verzia_4_0!G382-PSK_AT_verzia_3_5!G343</f>
        <v>2779030</v>
      </c>
      <c r="H382" s="60">
        <f>PSK_AT_verzia_4_0!H382-PSK_AT_verzia_3_5!H343</f>
        <v>2687440</v>
      </c>
      <c r="I382" s="60">
        <f>PSK_AT_verzia_4_0!I382-PSK_AT_verzia_3_5!I343</f>
        <v>91590</v>
      </c>
      <c r="J382" s="60">
        <f>PSK_AT_verzia_4_0!J382-PSK_AT_verzia_3_5!J343</f>
        <v>0</v>
      </c>
      <c r="K382" s="60">
        <f>PSK_AT_verzia_4_0!K382-PSK_AT_verzia_3_5!K343</f>
        <v>0</v>
      </c>
      <c r="L382" s="60">
        <f>PSK_AT_verzia_4_0!L382-PSK_AT_verzia_3_5!L343</f>
        <v>0</v>
      </c>
      <c r="M382" s="60">
        <f>PSK_AT_verzia_4_0!M382-PSK_AT_verzia_3_5!M343</f>
        <v>0</v>
      </c>
      <c r="N382" s="60">
        <f>PSK_AT_verzia_4_0!N382-PSK_AT_verzia_3_5!N343</f>
        <v>2779030</v>
      </c>
      <c r="O382" s="60">
        <f>PSK_AT_verzia_4_0!O382-PSK_AT_verzia_3_5!O343</f>
        <v>2687440</v>
      </c>
      <c r="P382" s="60">
        <f>PSK_AT_verzia_4_0!P382-PSK_AT_verzia_3_5!P343</f>
        <v>91590</v>
      </c>
      <c r="Q382" s="60">
        <f>PSK_AT_verzia_4_0!Q382-PSK_AT_verzia_3_5!Q343</f>
        <v>0</v>
      </c>
    </row>
    <row r="383" spans="1:21" ht="28" customHeight="1" x14ac:dyDescent="0.35">
      <c r="A383" s="241"/>
      <c r="B383" s="249"/>
      <c r="C383" s="19">
        <f>PSK_AT_verzia_4_0!C383-PSK_AT_verzia_3_5!C344</f>
        <v>0</v>
      </c>
      <c r="D383" s="19">
        <f>PSK_AT_verzia_4_0!D383-PSK_AT_verzia_3_5!D344</f>
        <v>0</v>
      </c>
      <c r="E383" s="19">
        <f>PSK_AT_verzia_4_0!E383-PSK_AT_verzia_3_5!E344</f>
        <v>0</v>
      </c>
      <c r="F383" s="66" t="s">
        <v>322</v>
      </c>
      <c r="G383" s="67">
        <f>PSK_AT_verzia_4_0!G383-PSK_AT_verzia_3_5!G344</f>
        <v>2779030</v>
      </c>
      <c r="H383" s="67">
        <f>PSK_AT_verzia_4_0!H383-PSK_AT_verzia_3_5!H344</f>
        <v>2687440</v>
      </c>
      <c r="I383" s="67">
        <f>PSK_AT_verzia_4_0!I383-PSK_AT_verzia_3_5!I344</f>
        <v>91590</v>
      </c>
      <c r="J383" s="67">
        <f>PSK_AT_verzia_4_0!J383-PSK_AT_verzia_3_5!J344</f>
        <v>0</v>
      </c>
      <c r="K383" s="67">
        <f>PSK_AT_verzia_4_0!K383-PSK_AT_verzia_3_5!K344</f>
        <v>0</v>
      </c>
      <c r="L383" s="67">
        <f>PSK_AT_verzia_4_0!L383-PSK_AT_verzia_3_5!L344</f>
        <v>0</v>
      </c>
      <c r="M383" s="67">
        <f>PSK_AT_verzia_4_0!M383-PSK_AT_verzia_3_5!M344</f>
        <v>0</v>
      </c>
      <c r="N383" s="67">
        <f>PSK_AT_verzia_4_0!N383-PSK_AT_verzia_3_5!N344</f>
        <v>2779030</v>
      </c>
      <c r="O383" s="67">
        <f>PSK_AT_verzia_4_0!O383-PSK_AT_verzia_3_5!O344</f>
        <v>2687440</v>
      </c>
      <c r="P383" s="67">
        <f>PSK_AT_verzia_4_0!P383-PSK_AT_verzia_3_5!P344</f>
        <v>91590</v>
      </c>
      <c r="Q383" s="67">
        <f>PSK_AT_verzia_4_0!Q383-PSK_AT_verzia_3_5!Q344</f>
        <v>0</v>
      </c>
    </row>
    <row r="384" spans="1:21" ht="28.5" x14ac:dyDescent="0.35">
      <c r="A384" s="241" t="s">
        <v>333</v>
      </c>
      <c r="B384" s="249" t="s">
        <v>334</v>
      </c>
      <c r="C384" s="52">
        <f>PSK_AT_verzia_4_0!C384-PSK_AT_verzia_3_5!C345</f>
        <v>-2272380</v>
      </c>
      <c r="D384" s="52">
        <f>PSK_AT_verzia_4_0!D384-PSK_AT_verzia_3_5!D345</f>
        <v>0</v>
      </c>
      <c r="E384" s="52">
        <f>PSK_AT_verzia_4_0!E384-PSK_AT_verzia_3_5!E345</f>
        <v>0</v>
      </c>
      <c r="F384" s="54" t="s">
        <v>335</v>
      </c>
      <c r="G384" s="52">
        <f>PSK_AT_verzia_4_0!G384-PSK_AT_verzia_3_5!G345</f>
        <v>-12162612</v>
      </c>
      <c r="H384" s="52">
        <f>PSK_AT_verzia_4_0!H384-PSK_AT_verzia_3_5!H345</f>
        <v>-15183641</v>
      </c>
      <c r="I384" s="52">
        <f>PSK_AT_verzia_4_0!I384-PSK_AT_verzia_3_5!I345</f>
        <v>3021029</v>
      </c>
      <c r="J384" s="52">
        <f>PSK_AT_verzia_4_0!J384-PSK_AT_verzia_3_5!J345</f>
        <v>-12162612</v>
      </c>
      <c r="K384" s="52">
        <f>PSK_AT_verzia_4_0!K384-PSK_AT_verzia_3_5!K345</f>
        <v>-15183641</v>
      </c>
      <c r="L384" s="52">
        <f>PSK_AT_verzia_4_0!L384-PSK_AT_verzia_3_5!L345</f>
        <v>3021029</v>
      </c>
      <c r="M384" s="52">
        <f>PSK_AT_verzia_4_0!M384-PSK_AT_verzia_3_5!M345</f>
        <v>0</v>
      </c>
      <c r="N384" s="52">
        <f>PSK_AT_verzia_4_0!N384-PSK_AT_verzia_3_5!N345</f>
        <v>0</v>
      </c>
      <c r="O384" s="52">
        <f>PSK_AT_verzia_4_0!O384-PSK_AT_verzia_3_5!O345</f>
        <v>0</v>
      </c>
      <c r="P384" s="52">
        <f>PSK_AT_verzia_4_0!P384-PSK_AT_verzia_3_5!P345</f>
        <v>0</v>
      </c>
      <c r="Q384" s="52">
        <f>PSK_AT_verzia_4_0!Q384-PSK_AT_verzia_3_5!Q345</f>
        <v>0</v>
      </c>
    </row>
    <row r="385" spans="1:24" ht="28" customHeight="1" x14ac:dyDescent="0.35">
      <c r="A385" s="241"/>
      <c r="B385" s="249"/>
      <c r="C385" s="99">
        <f>PSK_AT_verzia_4_0!C385-PSK_AT_verzia_3_5!C346</f>
        <v>-2272380</v>
      </c>
      <c r="D385" s="60">
        <f>PSK_AT_verzia_4_0!D385-PSK_AT_verzia_3_5!D346</f>
        <v>0</v>
      </c>
      <c r="E385" s="72">
        <f>PSK_AT_verzia_4_0!E385-PSK_AT_verzia_3_5!E346</f>
        <v>0</v>
      </c>
      <c r="F385" s="61" t="s">
        <v>321</v>
      </c>
      <c r="G385" s="60">
        <f>PSK_AT_verzia_4_0!G385-PSK_AT_verzia_3_5!G346</f>
        <v>-12162612</v>
      </c>
      <c r="H385" s="60">
        <f>PSK_AT_verzia_4_0!H385-PSK_AT_verzia_3_5!H346</f>
        <v>-15183641</v>
      </c>
      <c r="I385" s="60">
        <f>PSK_AT_verzia_4_0!I385-PSK_AT_verzia_3_5!I346</f>
        <v>3021029</v>
      </c>
      <c r="J385" s="60">
        <f>PSK_AT_verzia_4_0!J385-PSK_AT_verzia_3_5!J346</f>
        <v>-12162612</v>
      </c>
      <c r="K385" s="60">
        <f>PSK_AT_verzia_4_0!K385-PSK_AT_verzia_3_5!K346</f>
        <v>-15183641</v>
      </c>
      <c r="L385" s="60">
        <f>PSK_AT_verzia_4_0!L385-PSK_AT_verzia_3_5!L346</f>
        <v>3021029</v>
      </c>
      <c r="M385" s="60">
        <f>PSK_AT_verzia_4_0!M385-PSK_AT_verzia_3_5!M346</f>
        <v>0</v>
      </c>
      <c r="N385" s="60">
        <f>PSK_AT_verzia_4_0!N385-PSK_AT_verzia_3_5!N346</f>
        <v>0</v>
      </c>
      <c r="O385" s="60">
        <f>PSK_AT_verzia_4_0!O385-PSK_AT_verzia_3_5!O346</f>
        <v>0</v>
      </c>
      <c r="P385" s="60">
        <f>PSK_AT_verzia_4_0!P385-PSK_AT_verzia_3_5!P346</f>
        <v>0</v>
      </c>
      <c r="Q385" s="60">
        <f>PSK_AT_verzia_4_0!Q385-PSK_AT_verzia_3_5!Q346</f>
        <v>0</v>
      </c>
    </row>
    <row r="386" spans="1:24" ht="28" customHeight="1" x14ac:dyDescent="0.35">
      <c r="A386" s="241"/>
      <c r="B386" s="249"/>
      <c r="C386" s="200">
        <f>PSK_AT_verzia_4_0!C386-PSK_AT_verzia_3_5!C347</f>
        <v>0</v>
      </c>
      <c r="D386" s="200">
        <f>PSK_AT_verzia_4_0!D386-PSK_AT_verzia_3_5!D347</f>
        <v>0</v>
      </c>
      <c r="E386" s="200">
        <f>PSK_AT_verzia_4_0!E386-PSK_AT_verzia_3_5!E347</f>
        <v>0</v>
      </c>
      <c r="F386" s="66" t="s">
        <v>322</v>
      </c>
      <c r="G386" s="67">
        <f>PSK_AT_verzia_4_0!G386-PSK_AT_verzia_3_5!G347</f>
        <v>-9890232</v>
      </c>
      <c r="H386" s="67">
        <f>PSK_AT_verzia_4_0!H386-PSK_AT_verzia_3_5!H347</f>
        <v>-12911261</v>
      </c>
      <c r="I386" s="67">
        <f>PSK_AT_verzia_4_0!I386-PSK_AT_verzia_3_5!I347</f>
        <v>3021029</v>
      </c>
      <c r="J386" s="67">
        <f>PSK_AT_verzia_4_0!J386-PSK_AT_verzia_3_5!J347</f>
        <v>-9890232</v>
      </c>
      <c r="K386" s="67">
        <f>PSK_AT_verzia_4_0!K386-PSK_AT_verzia_3_5!K347</f>
        <v>-12911261</v>
      </c>
      <c r="L386" s="67">
        <f>PSK_AT_verzia_4_0!L386-PSK_AT_verzia_3_5!L347</f>
        <v>3021029</v>
      </c>
      <c r="M386" s="67">
        <f>PSK_AT_verzia_4_0!M386-PSK_AT_verzia_3_5!M347</f>
        <v>0</v>
      </c>
      <c r="N386" s="67">
        <f>PSK_AT_verzia_4_0!N386-PSK_AT_verzia_3_5!N347</f>
        <v>0</v>
      </c>
      <c r="O386" s="67">
        <f>PSK_AT_verzia_4_0!O386-PSK_AT_verzia_3_5!O347</f>
        <v>0</v>
      </c>
      <c r="P386" s="67">
        <f>PSK_AT_verzia_4_0!P386-PSK_AT_verzia_3_5!P347</f>
        <v>0</v>
      </c>
      <c r="Q386" s="67">
        <f>PSK_AT_verzia_4_0!Q386-PSK_AT_verzia_3_5!Q347</f>
        <v>0</v>
      </c>
    </row>
    <row r="387" spans="1:24" ht="28" customHeight="1" x14ac:dyDescent="0.35">
      <c r="A387" s="241"/>
      <c r="B387" s="249"/>
      <c r="C387" s="200">
        <f>PSK_AT_verzia_4_0!C387-PSK_AT_verzia_3_5!C348</f>
        <v>0</v>
      </c>
      <c r="D387" s="200">
        <f>PSK_AT_verzia_4_0!D387-PSK_AT_verzia_3_5!D348</f>
        <v>0</v>
      </c>
      <c r="E387" s="200">
        <f>PSK_AT_verzia_4_0!E387-PSK_AT_verzia_3_5!E348</f>
        <v>0</v>
      </c>
      <c r="F387" s="66" t="s">
        <v>336</v>
      </c>
      <c r="G387" s="71">
        <f>PSK_AT_verzia_4_0!G387-PSK_AT_verzia_3_5!G348</f>
        <v>-2272380</v>
      </c>
      <c r="H387" s="71">
        <f>PSK_AT_verzia_4_0!H387-PSK_AT_verzia_3_5!H348</f>
        <v>-2272380</v>
      </c>
      <c r="I387" s="71">
        <f>PSK_AT_verzia_4_0!I387-PSK_AT_verzia_3_5!I348</f>
        <v>0</v>
      </c>
      <c r="J387" s="71">
        <f>PSK_AT_verzia_4_0!J387-PSK_AT_verzia_3_5!J348</f>
        <v>-2272380</v>
      </c>
      <c r="K387" s="71">
        <f>PSK_AT_verzia_4_0!K387-PSK_AT_verzia_3_5!K348</f>
        <v>-2272380</v>
      </c>
      <c r="L387" s="71">
        <f>PSK_AT_verzia_4_0!L387-PSK_AT_verzia_3_5!L348</f>
        <v>0</v>
      </c>
      <c r="M387" s="71">
        <f>PSK_AT_verzia_4_0!M387-PSK_AT_verzia_3_5!M348</f>
        <v>0</v>
      </c>
      <c r="N387" s="71">
        <f>PSK_AT_verzia_4_0!N387-PSK_AT_verzia_3_5!N348</f>
        <v>0</v>
      </c>
      <c r="O387" s="71">
        <f>PSK_AT_verzia_4_0!O387-PSK_AT_verzia_3_5!O348</f>
        <v>0</v>
      </c>
      <c r="P387" s="71">
        <f>PSK_AT_verzia_4_0!P387-PSK_AT_verzia_3_5!P348</f>
        <v>0</v>
      </c>
      <c r="Q387" s="71">
        <f>PSK_AT_verzia_4_0!Q387-PSK_AT_verzia_3_5!Q348</f>
        <v>0</v>
      </c>
    </row>
    <row r="388" spans="1:24" ht="28" customHeight="1" x14ac:dyDescent="0.35">
      <c r="A388" s="241"/>
      <c r="B388" s="249"/>
      <c r="C388" s="200">
        <f>PSK_AT_verzia_4_0!C388-PSK_AT_verzia_3_5!C349</f>
        <v>0</v>
      </c>
      <c r="D388" s="200">
        <f>PSK_AT_verzia_4_0!D388-PSK_AT_verzia_3_5!D349</f>
        <v>0</v>
      </c>
      <c r="E388" s="200">
        <f>PSK_AT_verzia_4_0!E388-PSK_AT_verzia_3_5!E349</f>
        <v>0</v>
      </c>
      <c r="F388" s="66" t="s">
        <v>337</v>
      </c>
      <c r="G388" s="71">
        <f>PSK_AT_verzia_4_0!G388-PSK_AT_verzia_3_5!G349</f>
        <v>0</v>
      </c>
      <c r="H388" s="71">
        <f>PSK_AT_verzia_4_0!H388-PSK_AT_verzia_3_5!H349</f>
        <v>0</v>
      </c>
      <c r="I388" s="71">
        <f>PSK_AT_verzia_4_0!I388-PSK_AT_verzia_3_5!I349</f>
        <v>0</v>
      </c>
      <c r="J388" s="71">
        <f>PSK_AT_verzia_4_0!J388-PSK_AT_verzia_3_5!J349</f>
        <v>0</v>
      </c>
      <c r="K388" s="71">
        <f>PSK_AT_verzia_4_0!K388-PSK_AT_verzia_3_5!K349</f>
        <v>0</v>
      </c>
      <c r="L388" s="71">
        <f>PSK_AT_verzia_4_0!L388-PSK_AT_verzia_3_5!L349</f>
        <v>0</v>
      </c>
      <c r="M388" s="71">
        <f>PSK_AT_verzia_4_0!M388-PSK_AT_verzia_3_5!M349</f>
        <v>0</v>
      </c>
      <c r="N388" s="71">
        <f>PSK_AT_verzia_4_0!N388-PSK_AT_verzia_3_5!N349</f>
        <v>0</v>
      </c>
      <c r="O388" s="71">
        <f>PSK_AT_verzia_4_0!O388-PSK_AT_verzia_3_5!O349</f>
        <v>0</v>
      </c>
      <c r="P388" s="71">
        <f>PSK_AT_verzia_4_0!P388-PSK_AT_verzia_3_5!P349</f>
        <v>0</v>
      </c>
      <c r="Q388" s="71">
        <f>PSK_AT_verzia_4_0!Q388-PSK_AT_verzia_3_5!Q349</f>
        <v>0</v>
      </c>
    </row>
    <row r="389" spans="1:24" ht="28" customHeight="1" x14ac:dyDescent="0.35">
      <c r="A389" s="241"/>
      <c r="B389" s="249"/>
      <c r="C389" s="200">
        <f>PSK_AT_verzia_4_0!C389-PSK_AT_verzia_3_5!C350</f>
        <v>0</v>
      </c>
      <c r="D389" s="200">
        <f>PSK_AT_verzia_4_0!D389-PSK_AT_verzia_3_5!D350</f>
        <v>0</v>
      </c>
      <c r="E389" s="200">
        <f>PSK_AT_verzia_4_0!E389-PSK_AT_verzia_3_5!E350</f>
        <v>0</v>
      </c>
      <c r="F389" s="66" t="s">
        <v>338</v>
      </c>
      <c r="G389" s="74">
        <f>PSK_AT_verzia_4_0!G389-PSK_AT_verzia_3_5!G350</f>
        <v>0</v>
      </c>
      <c r="H389" s="74">
        <f>PSK_AT_verzia_4_0!H389-PSK_AT_verzia_3_5!H350</f>
        <v>0</v>
      </c>
      <c r="I389" s="74">
        <f>PSK_AT_verzia_4_0!I389-PSK_AT_verzia_3_5!I350</f>
        <v>0</v>
      </c>
      <c r="J389" s="74">
        <f>PSK_AT_verzia_4_0!J389-PSK_AT_verzia_3_5!J350</f>
        <v>0</v>
      </c>
      <c r="K389" s="74">
        <f>PSK_AT_verzia_4_0!K389-PSK_AT_verzia_3_5!K350</f>
        <v>0</v>
      </c>
      <c r="L389" s="74">
        <f>PSK_AT_verzia_4_0!L389-PSK_AT_verzia_3_5!L350</f>
        <v>0</v>
      </c>
      <c r="M389" s="74">
        <f>PSK_AT_verzia_4_0!M389-PSK_AT_verzia_3_5!M350</f>
        <v>0</v>
      </c>
      <c r="N389" s="74">
        <f>PSK_AT_verzia_4_0!N389-PSK_AT_verzia_3_5!N350</f>
        <v>0</v>
      </c>
      <c r="O389" s="74">
        <f>PSK_AT_verzia_4_0!O389-PSK_AT_verzia_3_5!O350</f>
        <v>0</v>
      </c>
      <c r="P389" s="74">
        <f>PSK_AT_verzia_4_0!P389-PSK_AT_verzia_3_5!P350</f>
        <v>0</v>
      </c>
      <c r="Q389" s="74">
        <f>PSK_AT_verzia_4_0!Q389-PSK_AT_verzia_3_5!Q350</f>
        <v>0</v>
      </c>
    </row>
    <row r="390" spans="1:24" ht="30" customHeight="1" x14ac:dyDescent="0.35">
      <c r="A390" s="45" t="s">
        <v>339</v>
      </c>
      <c r="B390" s="46" t="s">
        <v>340</v>
      </c>
      <c r="C390" s="47">
        <f>PSK_AT_verzia_4_0!C390-PSK_AT_verzia_3_5!C351</f>
        <v>2443445</v>
      </c>
      <c r="D390" s="47">
        <f>PSK_AT_verzia_4_0!D390-PSK_AT_verzia_3_5!D351</f>
        <v>6000000</v>
      </c>
      <c r="E390" s="47">
        <f>PSK_AT_verzia_4_0!E390-PSK_AT_verzia_3_5!E351</f>
        <v>0</v>
      </c>
      <c r="F390" s="48"/>
      <c r="G390" s="48">
        <f>PSK_AT_verzia_4_0!G390-PSK_AT_verzia_3_5!G351</f>
        <v>41420854</v>
      </c>
      <c r="H390" s="48">
        <f>PSK_AT_verzia_4_0!H390-PSK_AT_verzia_3_5!H351</f>
        <v>41420854</v>
      </c>
      <c r="I390" s="48">
        <f>PSK_AT_verzia_4_0!I390-PSK_AT_verzia_3_5!I351</f>
        <v>0</v>
      </c>
      <c r="J390" s="48">
        <f>PSK_AT_verzia_4_0!J390-PSK_AT_verzia_3_5!J351</f>
        <v>8443445</v>
      </c>
      <c r="K390" s="48">
        <f>PSK_AT_verzia_4_0!K390-PSK_AT_verzia_3_5!K351</f>
        <v>8443445</v>
      </c>
      <c r="L390" s="48">
        <f>PSK_AT_verzia_4_0!L390-PSK_AT_verzia_3_5!L351</f>
        <v>0</v>
      </c>
      <c r="M390" s="48">
        <f>PSK_AT_verzia_4_0!M390-PSK_AT_verzia_3_5!M351</f>
        <v>0</v>
      </c>
      <c r="N390" s="48">
        <f>PSK_AT_verzia_4_0!N390-PSK_AT_verzia_3_5!N351</f>
        <v>32977409</v>
      </c>
      <c r="O390" s="48">
        <f>PSK_AT_verzia_4_0!O390-PSK_AT_verzia_3_5!O351</f>
        <v>32977409</v>
      </c>
      <c r="P390" s="48">
        <f>PSK_AT_verzia_4_0!P390-PSK_AT_verzia_3_5!P351</f>
        <v>0</v>
      </c>
      <c r="Q390" s="48">
        <f>PSK_AT_verzia_4_0!Q390-PSK_AT_verzia_3_5!Q351</f>
        <v>0</v>
      </c>
    </row>
    <row r="391" spans="1:24" ht="170.15" customHeight="1" x14ac:dyDescent="0.35">
      <c r="A391" s="241" t="s">
        <v>341</v>
      </c>
      <c r="B391" s="242" t="s">
        <v>342</v>
      </c>
      <c r="C391" s="52">
        <f>PSK_AT_verzia_4_0!C391-PSK_AT_verzia_3_5!C352</f>
        <v>0</v>
      </c>
      <c r="D391" s="52">
        <f>PSK_AT_verzia_4_0!D391-PSK_AT_verzia_3_5!D352</f>
        <v>0</v>
      </c>
      <c r="E391" s="52">
        <f>PSK_AT_verzia_4_0!E391-PSK_AT_verzia_3_5!E352</f>
        <v>0</v>
      </c>
      <c r="F391" s="54" t="s">
        <v>343</v>
      </c>
      <c r="G391" s="52">
        <f>PSK_AT_verzia_4_0!G391-PSK_AT_verzia_3_5!G352</f>
        <v>-7051230</v>
      </c>
      <c r="H391" s="52">
        <f>PSK_AT_verzia_4_0!H391-PSK_AT_verzia_3_5!H352</f>
        <v>-9024854</v>
      </c>
      <c r="I391" s="52">
        <f>PSK_AT_verzia_4_0!I391-PSK_AT_verzia_3_5!I352</f>
        <v>1973624</v>
      </c>
      <c r="J391" s="52">
        <f>PSK_AT_verzia_4_0!J391-PSK_AT_verzia_3_5!J352</f>
        <v>0</v>
      </c>
      <c r="K391" s="52">
        <f>PSK_AT_verzia_4_0!K391-PSK_AT_verzia_3_5!K352</f>
        <v>0</v>
      </c>
      <c r="L391" s="52">
        <f>PSK_AT_verzia_4_0!L391-PSK_AT_verzia_3_5!L352</f>
        <v>0</v>
      </c>
      <c r="M391" s="52">
        <f>PSK_AT_verzia_4_0!M391-PSK_AT_verzia_3_5!M352</f>
        <v>0</v>
      </c>
      <c r="N391" s="52">
        <f>PSK_AT_verzia_4_0!N391-PSK_AT_verzia_3_5!N352</f>
        <v>-7051230</v>
      </c>
      <c r="O391" s="52">
        <f>PSK_AT_verzia_4_0!O391-PSK_AT_verzia_3_5!O352</f>
        <v>-9024854</v>
      </c>
      <c r="P391" s="52">
        <f>PSK_AT_verzia_4_0!P391-PSK_AT_verzia_3_5!P352</f>
        <v>1973624</v>
      </c>
      <c r="Q391" s="52">
        <f>PSK_AT_verzia_4_0!Q391-PSK_AT_verzia_3_5!Q352</f>
        <v>0</v>
      </c>
    </row>
    <row r="392" spans="1:24" ht="28" customHeight="1" x14ac:dyDescent="0.35">
      <c r="A392" s="241"/>
      <c r="B392" s="242"/>
      <c r="C392" s="60">
        <f>PSK_AT_verzia_4_0!C392-PSK_AT_verzia_3_5!C353</f>
        <v>0</v>
      </c>
      <c r="D392" s="60">
        <f>PSK_AT_verzia_4_0!D392-PSK_AT_verzia_3_5!D353</f>
        <v>0</v>
      </c>
      <c r="E392" s="60">
        <f>PSK_AT_verzia_4_0!E392-PSK_AT_verzia_3_5!E353</f>
        <v>0</v>
      </c>
      <c r="F392" s="61" t="s">
        <v>34</v>
      </c>
      <c r="G392" s="60">
        <f>PSK_AT_verzia_4_0!G392-PSK_AT_verzia_3_5!G353</f>
        <v>-7051230</v>
      </c>
      <c r="H392" s="60">
        <f>PSK_AT_verzia_4_0!H392-PSK_AT_verzia_3_5!H353</f>
        <v>-9024854</v>
      </c>
      <c r="I392" s="60">
        <f>PSK_AT_verzia_4_0!I392-PSK_AT_verzia_3_5!I353</f>
        <v>1973624</v>
      </c>
      <c r="J392" s="60">
        <f>PSK_AT_verzia_4_0!J392-PSK_AT_verzia_3_5!J353</f>
        <v>0</v>
      </c>
      <c r="K392" s="60">
        <f>PSK_AT_verzia_4_0!K392-PSK_AT_verzia_3_5!K353</f>
        <v>0</v>
      </c>
      <c r="L392" s="60">
        <f>PSK_AT_verzia_4_0!L392-PSK_AT_verzia_3_5!L353</f>
        <v>0</v>
      </c>
      <c r="M392" s="60">
        <f>PSK_AT_verzia_4_0!M392-PSK_AT_verzia_3_5!M353</f>
        <v>0</v>
      </c>
      <c r="N392" s="60">
        <f>PSK_AT_verzia_4_0!N392-PSK_AT_verzia_3_5!N353</f>
        <v>-7051230</v>
      </c>
      <c r="O392" s="60">
        <f>PSK_AT_verzia_4_0!O392-PSK_AT_verzia_3_5!O353</f>
        <v>-9024854</v>
      </c>
      <c r="P392" s="60">
        <f>PSK_AT_verzia_4_0!P392-PSK_AT_verzia_3_5!P353</f>
        <v>1973624</v>
      </c>
      <c r="Q392" s="60">
        <f>PSK_AT_verzia_4_0!Q392-PSK_AT_verzia_3_5!Q353</f>
        <v>0</v>
      </c>
    </row>
    <row r="393" spans="1:24" ht="28" customHeight="1" x14ac:dyDescent="0.35">
      <c r="A393" s="241"/>
      <c r="B393" s="242"/>
      <c r="C393" s="200">
        <f>PSK_AT_verzia_4_0!C393-PSK_AT_verzia_3_5!C354</f>
        <v>0</v>
      </c>
      <c r="D393" s="200">
        <f>PSK_AT_verzia_4_0!D393-PSK_AT_verzia_3_5!D354</f>
        <v>0</v>
      </c>
      <c r="E393" s="200">
        <f>PSK_AT_verzia_4_0!E393-PSK_AT_verzia_3_5!E354</f>
        <v>0</v>
      </c>
      <c r="F393" s="66" t="s">
        <v>35</v>
      </c>
      <c r="G393" s="67">
        <f>PSK_AT_verzia_4_0!G393-PSK_AT_verzia_3_5!G354</f>
        <v>-7051230</v>
      </c>
      <c r="H393" s="67">
        <f>PSK_AT_verzia_4_0!H393-PSK_AT_verzia_3_5!H354</f>
        <v>-9024854</v>
      </c>
      <c r="I393" s="67">
        <f>PSK_AT_verzia_4_0!I393-PSK_AT_verzia_3_5!I354</f>
        <v>1973624</v>
      </c>
      <c r="J393" s="67">
        <f>PSK_AT_verzia_4_0!J393-PSK_AT_verzia_3_5!J354</f>
        <v>0</v>
      </c>
      <c r="K393" s="67">
        <f>PSK_AT_verzia_4_0!K393-PSK_AT_verzia_3_5!K354</f>
        <v>0</v>
      </c>
      <c r="L393" s="67">
        <f>PSK_AT_verzia_4_0!L393-PSK_AT_verzia_3_5!L354</f>
        <v>0</v>
      </c>
      <c r="M393" s="67">
        <f>PSK_AT_verzia_4_0!M393-PSK_AT_verzia_3_5!M354</f>
        <v>0</v>
      </c>
      <c r="N393" s="67">
        <f>PSK_AT_verzia_4_0!N393-PSK_AT_verzia_3_5!N354</f>
        <v>-7051230</v>
      </c>
      <c r="O393" s="67">
        <f>PSK_AT_verzia_4_0!O393-PSK_AT_verzia_3_5!O354</f>
        <v>-9024854</v>
      </c>
      <c r="P393" s="67">
        <f>PSK_AT_verzia_4_0!P393-PSK_AT_verzia_3_5!P354</f>
        <v>1973624</v>
      </c>
      <c r="Q393" s="67">
        <f>PSK_AT_verzia_4_0!Q393-PSK_AT_verzia_3_5!Q354</f>
        <v>0</v>
      </c>
    </row>
    <row r="394" spans="1:24" ht="112.5" customHeight="1" x14ac:dyDescent="0.35">
      <c r="A394" s="241" t="s">
        <v>344</v>
      </c>
      <c r="B394" s="242" t="s">
        <v>345</v>
      </c>
      <c r="C394" s="52">
        <f>PSK_AT_verzia_4_0!C394-PSK_AT_verzia_3_5!C355</f>
        <v>0</v>
      </c>
      <c r="D394" s="52">
        <f>PSK_AT_verzia_4_0!D394-PSK_AT_verzia_3_5!D355</f>
        <v>0</v>
      </c>
      <c r="E394" s="52">
        <f>PSK_AT_verzia_4_0!E394-PSK_AT_verzia_3_5!E355</f>
        <v>0</v>
      </c>
      <c r="F394" s="54" t="s">
        <v>346</v>
      </c>
      <c r="G394" s="52">
        <f>PSK_AT_verzia_4_0!G394-PSK_AT_verzia_3_5!G355</f>
        <v>40028639</v>
      </c>
      <c r="H394" s="52">
        <f>PSK_AT_verzia_4_0!H394-PSK_AT_verzia_3_5!H355</f>
        <v>42002263</v>
      </c>
      <c r="I394" s="52">
        <f>PSK_AT_verzia_4_0!I394-PSK_AT_verzia_3_5!I355</f>
        <v>-1973624</v>
      </c>
      <c r="J394" s="52">
        <f>PSK_AT_verzia_4_0!J394-PSK_AT_verzia_3_5!J355</f>
        <v>0</v>
      </c>
      <c r="K394" s="52">
        <f>PSK_AT_verzia_4_0!K394-PSK_AT_verzia_3_5!K355</f>
        <v>0</v>
      </c>
      <c r="L394" s="52">
        <f>PSK_AT_verzia_4_0!L394-PSK_AT_verzia_3_5!L355</f>
        <v>0</v>
      </c>
      <c r="M394" s="52">
        <f>PSK_AT_verzia_4_0!M394-PSK_AT_verzia_3_5!M355</f>
        <v>0</v>
      </c>
      <c r="N394" s="52">
        <f>PSK_AT_verzia_4_0!N394-PSK_AT_verzia_3_5!N355</f>
        <v>40028639</v>
      </c>
      <c r="O394" s="52">
        <f>PSK_AT_verzia_4_0!O394-PSK_AT_verzia_3_5!O355</f>
        <v>42002263</v>
      </c>
      <c r="P394" s="52">
        <f>PSK_AT_verzia_4_0!P394-PSK_AT_verzia_3_5!P355</f>
        <v>-1973624</v>
      </c>
      <c r="Q394" s="52">
        <f>PSK_AT_verzia_4_0!Q394-PSK_AT_verzia_3_5!Q355</f>
        <v>0</v>
      </c>
    </row>
    <row r="395" spans="1:24" ht="28" customHeight="1" x14ac:dyDescent="0.35">
      <c r="A395" s="241"/>
      <c r="B395" s="242"/>
      <c r="C395" s="60">
        <f>PSK_AT_verzia_4_0!C395-PSK_AT_verzia_3_5!C356</f>
        <v>0</v>
      </c>
      <c r="D395" s="112">
        <f>PSK_AT_verzia_4_0!D395-PSK_AT_verzia_3_5!D356</f>
        <v>0</v>
      </c>
      <c r="E395" s="60">
        <f>PSK_AT_verzia_4_0!E395-PSK_AT_verzia_3_5!E356</f>
        <v>0</v>
      </c>
      <c r="F395" s="61" t="s">
        <v>34</v>
      </c>
      <c r="G395" s="60">
        <f>PSK_AT_verzia_4_0!G395-PSK_AT_verzia_3_5!G356</f>
        <v>40028639</v>
      </c>
      <c r="H395" s="60">
        <f>PSK_AT_verzia_4_0!H395-PSK_AT_verzia_3_5!H356</f>
        <v>42002263</v>
      </c>
      <c r="I395" s="60">
        <f>PSK_AT_verzia_4_0!I395-PSK_AT_verzia_3_5!I356</f>
        <v>-1973624</v>
      </c>
      <c r="J395" s="60">
        <f>PSK_AT_verzia_4_0!J395-PSK_AT_verzia_3_5!J356</f>
        <v>0</v>
      </c>
      <c r="K395" s="60">
        <f>PSK_AT_verzia_4_0!K395-PSK_AT_verzia_3_5!K356</f>
        <v>0</v>
      </c>
      <c r="L395" s="60">
        <f>PSK_AT_verzia_4_0!L395-PSK_AT_verzia_3_5!L356</f>
        <v>0</v>
      </c>
      <c r="M395" s="60">
        <f>PSK_AT_verzia_4_0!M395-PSK_AT_verzia_3_5!M356</f>
        <v>0</v>
      </c>
      <c r="N395" s="60">
        <f>PSK_AT_verzia_4_0!N395-PSK_AT_verzia_3_5!N356</f>
        <v>40028639</v>
      </c>
      <c r="O395" s="60">
        <f>PSK_AT_verzia_4_0!O395-PSK_AT_verzia_3_5!O356</f>
        <v>42002263</v>
      </c>
      <c r="P395" s="60">
        <f>PSK_AT_verzia_4_0!P395-PSK_AT_verzia_3_5!P356</f>
        <v>-1973624</v>
      </c>
      <c r="Q395" s="60">
        <f>PSK_AT_verzia_4_0!Q395-PSK_AT_verzia_3_5!Q356</f>
        <v>0</v>
      </c>
    </row>
    <row r="396" spans="1:24" ht="28" customHeight="1" x14ac:dyDescent="0.35">
      <c r="A396" s="241"/>
      <c r="B396" s="242"/>
      <c r="C396" s="200">
        <f>PSK_AT_verzia_4_0!C396-PSK_AT_verzia_3_5!C357</f>
        <v>0</v>
      </c>
      <c r="D396" s="200">
        <f>PSK_AT_verzia_4_0!D396-PSK_AT_verzia_3_5!D357</f>
        <v>0</v>
      </c>
      <c r="E396" s="200">
        <f>PSK_AT_verzia_4_0!E396-PSK_AT_verzia_3_5!E357</f>
        <v>0</v>
      </c>
      <c r="F396" s="66" t="s">
        <v>35</v>
      </c>
      <c r="G396" s="67">
        <f>PSK_AT_verzia_4_0!G396-PSK_AT_verzia_3_5!G357</f>
        <v>40028639</v>
      </c>
      <c r="H396" s="67">
        <f>PSK_AT_verzia_4_0!H396-PSK_AT_verzia_3_5!H357</f>
        <v>42002263</v>
      </c>
      <c r="I396" s="67">
        <f>PSK_AT_verzia_4_0!I396-PSK_AT_verzia_3_5!I357</f>
        <v>-1973624</v>
      </c>
      <c r="J396" s="67">
        <f>PSK_AT_verzia_4_0!J396-PSK_AT_verzia_3_5!J357</f>
        <v>0</v>
      </c>
      <c r="K396" s="67">
        <f>PSK_AT_verzia_4_0!K396-PSK_AT_verzia_3_5!K357</f>
        <v>0</v>
      </c>
      <c r="L396" s="67">
        <f>PSK_AT_verzia_4_0!L396-PSK_AT_verzia_3_5!L357</f>
        <v>0</v>
      </c>
      <c r="M396" s="67">
        <f>PSK_AT_verzia_4_0!M396-PSK_AT_verzia_3_5!M357</f>
        <v>0</v>
      </c>
      <c r="N396" s="67">
        <f>PSK_AT_verzia_4_0!N396-PSK_AT_verzia_3_5!N357</f>
        <v>40028639</v>
      </c>
      <c r="O396" s="67">
        <f>PSK_AT_verzia_4_0!O396-PSK_AT_verzia_3_5!O357</f>
        <v>42002263</v>
      </c>
      <c r="P396" s="67">
        <f>PSK_AT_verzia_4_0!P396-PSK_AT_verzia_3_5!P357</f>
        <v>-1973624</v>
      </c>
      <c r="Q396" s="67">
        <f>PSK_AT_verzia_4_0!Q396-PSK_AT_verzia_3_5!Q357</f>
        <v>0</v>
      </c>
    </row>
    <row r="397" spans="1:24" ht="28" customHeight="1" x14ac:dyDescent="0.35">
      <c r="A397" s="241"/>
      <c r="B397" s="242"/>
      <c r="C397" s="200">
        <f>PSK_AT_verzia_4_0!C397-PSK_AT_verzia_3_5!C358</f>
        <v>0</v>
      </c>
      <c r="D397" s="200">
        <f>PSK_AT_verzia_4_0!D397-PSK_AT_verzia_3_5!D358</f>
        <v>0</v>
      </c>
      <c r="E397" s="200">
        <f>PSK_AT_verzia_4_0!E397-PSK_AT_verzia_3_5!E358</f>
        <v>0</v>
      </c>
      <c r="F397" s="66" t="s">
        <v>347</v>
      </c>
      <c r="G397" s="103">
        <f>PSK_AT_verzia_4_0!G397-PSK_AT_verzia_3_5!G358</f>
        <v>0</v>
      </c>
      <c r="H397" s="103">
        <f>PSK_AT_verzia_4_0!H397-PSK_AT_verzia_3_5!H358</f>
        <v>0</v>
      </c>
      <c r="I397" s="103">
        <f>PSK_AT_verzia_4_0!I397-PSK_AT_verzia_3_5!I358</f>
        <v>0</v>
      </c>
      <c r="J397" s="103">
        <f>PSK_AT_verzia_4_0!J397-PSK_AT_verzia_3_5!J358</f>
        <v>0</v>
      </c>
      <c r="K397" s="103">
        <f>PSK_AT_verzia_4_0!K397-PSK_AT_verzia_3_5!K358</f>
        <v>0</v>
      </c>
      <c r="L397" s="103">
        <f>PSK_AT_verzia_4_0!L397-PSK_AT_verzia_3_5!L358</f>
        <v>0</v>
      </c>
      <c r="M397" s="103">
        <f>PSK_AT_verzia_4_0!M397-PSK_AT_verzia_3_5!M358</f>
        <v>0</v>
      </c>
      <c r="N397" s="103">
        <f>PSK_AT_verzia_4_0!N397-PSK_AT_verzia_3_5!N358</f>
        <v>0</v>
      </c>
      <c r="O397" s="103">
        <f>PSK_AT_verzia_4_0!O397-PSK_AT_verzia_3_5!O358</f>
        <v>0</v>
      </c>
      <c r="P397" s="103">
        <f>PSK_AT_verzia_4_0!P397-PSK_AT_verzia_3_5!P358</f>
        <v>0</v>
      </c>
      <c r="Q397" s="103">
        <f>PSK_AT_verzia_4_0!Q397-PSK_AT_verzia_3_5!Q358</f>
        <v>0</v>
      </c>
    </row>
    <row r="398" spans="1:24" ht="28.5" x14ac:dyDescent="0.35">
      <c r="A398" s="241" t="s">
        <v>348</v>
      </c>
      <c r="B398" s="242" t="s">
        <v>349</v>
      </c>
      <c r="C398" s="52">
        <f>PSK_AT_verzia_4_0!C398-PSK_AT_verzia_3_5!C359</f>
        <v>2443445</v>
      </c>
      <c r="D398" s="52">
        <f>PSK_AT_verzia_4_0!D398-PSK_AT_verzia_3_5!D359</f>
        <v>6000000</v>
      </c>
      <c r="E398" s="52">
        <f>PSK_AT_verzia_4_0!E398-PSK_AT_verzia_3_5!E359</f>
        <v>0</v>
      </c>
      <c r="F398" s="54" t="s">
        <v>350</v>
      </c>
      <c r="G398" s="52">
        <f>PSK_AT_verzia_4_0!G398-PSK_AT_verzia_3_5!G359</f>
        <v>8443445</v>
      </c>
      <c r="H398" s="52">
        <f>PSK_AT_verzia_4_0!H398-PSK_AT_verzia_3_5!H359</f>
        <v>8443445</v>
      </c>
      <c r="I398" s="52">
        <f>PSK_AT_verzia_4_0!I398-PSK_AT_verzia_3_5!I359</f>
        <v>0</v>
      </c>
      <c r="J398" s="52">
        <f>PSK_AT_verzia_4_0!J398-PSK_AT_verzia_3_5!J359</f>
        <v>8443445</v>
      </c>
      <c r="K398" s="52">
        <f>PSK_AT_verzia_4_0!K398-PSK_AT_verzia_3_5!K359</f>
        <v>8443445</v>
      </c>
      <c r="L398" s="52">
        <f>PSK_AT_verzia_4_0!L398-PSK_AT_verzia_3_5!L359</f>
        <v>0</v>
      </c>
      <c r="M398" s="52">
        <f>PSK_AT_verzia_4_0!M398-PSK_AT_verzia_3_5!M359</f>
        <v>0</v>
      </c>
      <c r="N398" s="52">
        <f>PSK_AT_verzia_4_0!N398-PSK_AT_verzia_3_5!N359</f>
        <v>0</v>
      </c>
      <c r="O398" s="52">
        <f>PSK_AT_verzia_4_0!O398-PSK_AT_verzia_3_5!O359</f>
        <v>0</v>
      </c>
      <c r="P398" s="52">
        <f>PSK_AT_verzia_4_0!P398-PSK_AT_verzia_3_5!P359</f>
        <v>0</v>
      </c>
      <c r="Q398" s="52">
        <f>PSK_AT_verzia_4_0!Q398-PSK_AT_verzia_3_5!Q359</f>
        <v>0</v>
      </c>
    </row>
    <row r="399" spans="1:24" ht="28" customHeight="1" x14ac:dyDescent="0.35">
      <c r="A399" s="241"/>
      <c r="B399" s="242"/>
      <c r="C399" s="99">
        <f>PSK_AT_verzia_4_0!C399-PSK_AT_verzia_3_5!C360</f>
        <v>2443445</v>
      </c>
      <c r="D399" s="60">
        <f>PSK_AT_verzia_4_0!D399-PSK_AT_verzia_3_5!D360</f>
        <v>0</v>
      </c>
      <c r="E399" s="60">
        <f>PSK_AT_verzia_4_0!E399-PSK_AT_verzia_3_5!E360</f>
        <v>0</v>
      </c>
      <c r="F399" s="61" t="s">
        <v>36</v>
      </c>
      <c r="G399" s="60">
        <f>PSK_AT_verzia_4_0!G399-PSK_AT_verzia_3_5!G360</f>
        <v>2443445</v>
      </c>
      <c r="H399" s="60">
        <f>PSK_AT_verzia_4_0!H399-PSK_AT_verzia_3_5!H360</f>
        <v>2443445</v>
      </c>
      <c r="I399" s="60">
        <f>PSK_AT_verzia_4_0!I399-PSK_AT_verzia_3_5!I360</f>
        <v>0</v>
      </c>
      <c r="J399" s="60">
        <f>PSK_AT_verzia_4_0!J399-PSK_AT_verzia_3_5!J360</f>
        <v>2443445</v>
      </c>
      <c r="K399" s="60">
        <f>PSK_AT_verzia_4_0!K399-PSK_AT_verzia_3_5!K360</f>
        <v>2443445</v>
      </c>
      <c r="L399" s="60">
        <f>PSK_AT_verzia_4_0!L399-PSK_AT_verzia_3_5!L360</f>
        <v>0</v>
      </c>
      <c r="M399" s="60">
        <f>PSK_AT_verzia_4_0!M399-PSK_AT_verzia_3_5!M360</f>
        <v>0</v>
      </c>
      <c r="N399" s="60">
        <f>PSK_AT_verzia_4_0!N399-PSK_AT_verzia_3_5!N360</f>
        <v>0</v>
      </c>
      <c r="O399" s="60">
        <f>PSK_AT_verzia_4_0!O399-PSK_AT_verzia_3_5!O360</f>
        <v>0</v>
      </c>
      <c r="P399" s="60">
        <f>PSK_AT_verzia_4_0!P399-PSK_AT_verzia_3_5!P360</f>
        <v>0</v>
      </c>
      <c r="Q399" s="60">
        <f>PSK_AT_verzia_4_0!Q399-PSK_AT_verzia_3_5!Q360</f>
        <v>0</v>
      </c>
    </row>
    <row r="400" spans="1:24" ht="28" customHeight="1" x14ac:dyDescent="0.35">
      <c r="A400" s="241"/>
      <c r="B400" s="242"/>
      <c r="C400" s="200">
        <f>PSK_AT_verzia_4_0!C400-PSK_AT_verzia_3_5!C361</f>
        <v>0</v>
      </c>
      <c r="D400" s="200">
        <f>PSK_AT_verzia_4_0!D400-PSK_AT_verzia_3_5!D361</f>
        <v>0</v>
      </c>
      <c r="E400" s="200">
        <f>PSK_AT_verzia_4_0!E400-PSK_AT_verzia_3_5!E361</f>
        <v>0</v>
      </c>
      <c r="F400" s="66" t="s">
        <v>37</v>
      </c>
      <c r="G400" s="67">
        <f>PSK_AT_verzia_4_0!G400-PSK_AT_verzia_3_5!G361</f>
        <v>0</v>
      </c>
      <c r="H400" s="67">
        <f>PSK_AT_verzia_4_0!H400-PSK_AT_verzia_3_5!H361</f>
        <v>0</v>
      </c>
      <c r="I400" s="67">
        <f>PSK_AT_verzia_4_0!I400-PSK_AT_verzia_3_5!I361</f>
        <v>0</v>
      </c>
      <c r="J400" s="67">
        <f>PSK_AT_verzia_4_0!J400-PSK_AT_verzia_3_5!J361</f>
        <v>0</v>
      </c>
      <c r="K400" s="67">
        <f>PSK_AT_verzia_4_0!K400-PSK_AT_verzia_3_5!K361</f>
        <v>0</v>
      </c>
      <c r="L400" s="67">
        <f>PSK_AT_verzia_4_0!L400-PSK_AT_verzia_3_5!L361</f>
        <v>0</v>
      </c>
      <c r="M400" s="67">
        <f>PSK_AT_verzia_4_0!M400-PSK_AT_verzia_3_5!M361</f>
        <v>0</v>
      </c>
      <c r="N400" s="67">
        <f>PSK_AT_verzia_4_0!N400-PSK_AT_verzia_3_5!N361</f>
        <v>0</v>
      </c>
      <c r="O400" s="67">
        <f>PSK_AT_verzia_4_0!O400-PSK_AT_verzia_3_5!O361</f>
        <v>0</v>
      </c>
      <c r="P400" s="67">
        <f>PSK_AT_verzia_4_0!P400-PSK_AT_verzia_3_5!P361</f>
        <v>0</v>
      </c>
      <c r="Q400" s="67">
        <f>PSK_AT_verzia_4_0!Q400-PSK_AT_verzia_3_5!Q361</f>
        <v>0</v>
      </c>
      <c r="X400" s="113"/>
    </row>
    <row r="401" spans="1:24" ht="28" customHeight="1" x14ac:dyDescent="0.35">
      <c r="A401" s="241"/>
      <c r="B401" s="242"/>
      <c r="C401" s="200">
        <f>PSK_AT_verzia_4_0!C401-PSK_AT_verzia_3_5!C362</f>
        <v>0</v>
      </c>
      <c r="D401" s="200">
        <f>PSK_AT_verzia_4_0!D401-PSK_AT_verzia_3_5!D362</f>
        <v>0</v>
      </c>
      <c r="E401" s="200">
        <f>PSK_AT_verzia_4_0!E401-PSK_AT_verzia_3_5!E362</f>
        <v>0</v>
      </c>
      <c r="F401" s="66" t="s">
        <v>38</v>
      </c>
      <c r="G401" s="71">
        <f>PSK_AT_verzia_4_0!G401-PSK_AT_verzia_3_5!G362</f>
        <v>535297</v>
      </c>
      <c r="H401" s="71">
        <f>PSK_AT_verzia_4_0!H401-PSK_AT_verzia_3_5!H362</f>
        <v>535297</v>
      </c>
      <c r="I401" s="71">
        <f>PSK_AT_verzia_4_0!I401-PSK_AT_verzia_3_5!I362</f>
        <v>0</v>
      </c>
      <c r="J401" s="71">
        <f>PSK_AT_verzia_4_0!J401-PSK_AT_verzia_3_5!J362</f>
        <v>535297</v>
      </c>
      <c r="K401" s="71">
        <f>PSK_AT_verzia_4_0!K401-PSK_AT_verzia_3_5!K362</f>
        <v>535297</v>
      </c>
      <c r="L401" s="71">
        <f>PSK_AT_verzia_4_0!L401-PSK_AT_verzia_3_5!L362</f>
        <v>0</v>
      </c>
      <c r="M401" s="71">
        <f>PSK_AT_verzia_4_0!M401-PSK_AT_verzia_3_5!M362</f>
        <v>0</v>
      </c>
      <c r="N401" s="71">
        <f>PSK_AT_verzia_4_0!N401-PSK_AT_verzia_3_5!N362</f>
        <v>0</v>
      </c>
      <c r="O401" s="71">
        <f>PSK_AT_verzia_4_0!O401-PSK_AT_verzia_3_5!O362</f>
        <v>0</v>
      </c>
      <c r="P401" s="71">
        <f>PSK_AT_verzia_4_0!P401-PSK_AT_verzia_3_5!P362</f>
        <v>0</v>
      </c>
      <c r="Q401" s="71">
        <f>PSK_AT_verzia_4_0!Q401-PSK_AT_verzia_3_5!Q362</f>
        <v>0</v>
      </c>
      <c r="X401" s="113"/>
    </row>
    <row r="402" spans="1:24" ht="28" customHeight="1" x14ac:dyDescent="0.35">
      <c r="A402" s="241"/>
      <c r="B402" s="242"/>
      <c r="C402" s="200">
        <f>PSK_AT_verzia_4_0!C402-PSK_AT_verzia_3_5!C363</f>
        <v>0</v>
      </c>
      <c r="D402" s="200">
        <f>PSK_AT_verzia_4_0!D402-PSK_AT_verzia_3_5!D363</f>
        <v>0</v>
      </c>
      <c r="E402" s="200">
        <f>PSK_AT_verzia_4_0!E402-PSK_AT_verzia_3_5!E363</f>
        <v>0</v>
      </c>
      <c r="F402" s="66" t="s">
        <v>39</v>
      </c>
      <c r="G402" s="71">
        <f>PSK_AT_verzia_4_0!G402-PSK_AT_verzia_3_5!G363</f>
        <v>1908148</v>
      </c>
      <c r="H402" s="71">
        <f>PSK_AT_verzia_4_0!H402-PSK_AT_verzia_3_5!H363</f>
        <v>1908148</v>
      </c>
      <c r="I402" s="71">
        <f>PSK_AT_verzia_4_0!I402-PSK_AT_verzia_3_5!I363</f>
        <v>0</v>
      </c>
      <c r="J402" s="71">
        <f>PSK_AT_verzia_4_0!J402-PSK_AT_verzia_3_5!J363</f>
        <v>1908148</v>
      </c>
      <c r="K402" s="71">
        <f>PSK_AT_verzia_4_0!K402-PSK_AT_verzia_3_5!K363</f>
        <v>1908148</v>
      </c>
      <c r="L402" s="71">
        <f>PSK_AT_verzia_4_0!L402-PSK_AT_verzia_3_5!L363</f>
        <v>0</v>
      </c>
      <c r="M402" s="71">
        <f>PSK_AT_verzia_4_0!M402-PSK_AT_verzia_3_5!M363</f>
        <v>0</v>
      </c>
      <c r="N402" s="71">
        <f>PSK_AT_verzia_4_0!N402-PSK_AT_verzia_3_5!N363</f>
        <v>0</v>
      </c>
      <c r="O402" s="71">
        <f>PSK_AT_verzia_4_0!O402-PSK_AT_verzia_3_5!O363</f>
        <v>0</v>
      </c>
      <c r="P402" s="71">
        <f>PSK_AT_verzia_4_0!P402-PSK_AT_verzia_3_5!P363</f>
        <v>0</v>
      </c>
      <c r="Q402" s="71">
        <f>PSK_AT_verzia_4_0!Q402-PSK_AT_verzia_3_5!Q363</f>
        <v>0</v>
      </c>
    </row>
    <row r="403" spans="1:24" ht="28" customHeight="1" x14ac:dyDescent="0.35">
      <c r="A403" s="241"/>
      <c r="B403" s="242"/>
      <c r="C403" s="60">
        <f>PSK_AT_verzia_4_0!C403-PSK_AT_verzia_3_5!C364</f>
        <v>0</v>
      </c>
      <c r="D403" s="112">
        <f>PSK_AT_verzia_4_0!D403-PSK_AT_verzia_3_5!D364</f>
        <v>6000000</v>
      </c>
      <c r="E403" s="60">
        <f>PSK_AT_verzia_4_0!E403-PSK_AT_verzia_3_5!E364</f>
        <v>0</v>
      </c>
      <c r="F403" s="61" t="s">
        <v>186</v>
      </c>
      <c r="G403" s="60">
        <f>PSK_AT_verzia_4_0!G403-PSK_AT_verzia_3_5!G364</f>
        <v>6000000</v>
      </c>
      <c r="H403" s="60">
        <f>PSK_AT_verzia_4_0!H403-PSK_AT_verzia_3_5!H364</f>
        <v>6000000</v>
      </c>
      <c r="I403" s="60">
        <f>PSK_AT_verzia_4_0!I403-PSK_AT_verzia_3_5!I364</f>
        <v>0</v>
      </c>
      <c r="J403" s="60">
        <f>PSK_AT_verzia_4_0!J403-PSK_AT_verzia_3_5!J364</f>
        <v>6000000</v>
      </c>
      <c r="K403" s="60">
        <f>PSK_AT_verzia_4_0!K403-PSK_AT_verzia_3_5!K364</f>
        <v>6000000</v>
      </c>
      <c r="L403" s="60">
        <f>PSK_AT_verzia_4_0!L403-PSK_AT_verzia_3_5!L364</f>
        <v>0</v>
      </c>
      <c r="M403" s="60">
        <f>PSK_AT_verzia_4_0!M403-PSK_AT_verzia_3_5!M364</f>
        <v>0</v>
      </c>
      <c r="N403" s="60">
        <f>PSK_AT_verzia_4_0!N403-PSK_AT_verzia_3_5!N364</f>
        <v>0</v>
      </c>
      <c r="O403" s="60">
        <f>PSK_AT_verzia_4_0!O403-PSK_AT_verzia_3_5!O364</f>
        <v>0</v>
      </c>
      <c r="P403" s="60">
        <f>PSK_AT_verzia_4_0!P403-PSK_AT_verzia_3_5!P364</f>
        <v>0</v>
      </c>
      <c r="Q403" s="60">
        <f>PSK_AT_verzia_4_0!Q403-PSK_AT_verzia_3_5!Q364</f>
        <v>0</v>
      </c>
    </row>
    <row r="404" spans="1:24" ht="28" customHeight="1" x14ac:dyDescent="0.35">
      <c r="A404" s="241"/>
      <c r="B404" s="242"/>
      <c r="C404" s="200">
        <f>PSK_AT_verzia_4_0!C404-PSK_AT_verzia_3_5!C365</f>
        <v>0</v>
      </c>
      <c r="D404" s="200">
        <f>PSK_AT_verzia_4_0!D404-PSK_AT_verzia_3_5!D365</f>
        <v>0</v>
      </c>
      <c r="E404" s="200">
        <f>PSK_AT_verzia_4_0!E404-PSK_AT_verzia_3_5!E365</f>
        <v>0</v>
      </c>
      <c r="F404" s="66" t="s">
        <v>187</v>
      </c>
      <c r="G404" s="103">
        <f>PSK_AT_verzia_4_0!G404-PSK_AT_verzia_3_5!G365</f>
        <v>6000000</v>
      </c>
      <c r="H404" s="103">
        <f>PSK_AT_verzia_4_0!H404-PSK_AT_verzia_3_5!H365</f>
        <v>6000000</v>
      </c>
      <c r="I404" s="103">
        <f>PSK_AT_verzia_4_0!I404-PSK_AT_verzia_3_5!I365</f>
        <v>0</v>
      </c>
      <c r="J404" s="103">
        <f>PSK_AT_verzia_4_0!J404-PSK_AT_verzia_3_5!J365</f>
        <v>6000000</v>
      </c>
      <c r="K404" s="103">
        <f>PSK_AT_verzia_4_0!K404-PSK_AT_verzia_3_5!K365</f>
        <v>6000000</v>
      </c>
      <c r="L404" s="103">
        <f>PSK_AT_verzia_4_0!L404-PSK_AT_verzia_3_5!L365</f>
        <v>0</v>
      </c>
      <c r="M404" s="103">
        <f>PSK_AT_verzia_4_0!M404-PSK_AT_verzia_3_5!M365</f>
        <v>0</v>
      </c>
      <c r="N404" s="103">
        <f>PSK_AT_verzia_4_0!N404-PSK_AT_verzia_3_5!N365</f>
        <v>0</v>
      </c>
      <c r="O404" s="103">
        <f>PSK_AT_verzia_4_0!O404-PSK_AT_verzia_3_5!O365</f>
        <v>0</v>
      </c>
      <c r="P404" s="103">
        <f>PSK_AT_verzia_4_0!P404-PSK_AT_verzia_3_5!P365</f>
        <v>0</v>
      </c>
      <c r="Q404" s="103">
        <f>PSK_AT_verzia_4_0!Q404-PSK_AT_verzia_3_5!Q365</f>
        <v>0</v>
      </c>
    </row>
    <row r="405" spans="1:24" ht="28" customHeight="1" x14ac:dyDescent="0.35">
      <c r="A405" s="241"/>
      <c r="B405" s="242"/>
      <c r="C405" s="60">
        <f>PSK_AT_verzia_4_0!C405-PSK_AT_verzia_3_5!C366</f>
        <v>0</v>
      </c>
      <c r="D405" s="60">
        <f>PSK_AT_verzia_4_0!D405-PSK_AT_verzia_3_5!D366</f>
        <v>0</v>
      </c>
      <c r="E405" s="60">
        <f>PSK_AT_verzia_4_0!E405-PSK_AT_verzia_3_5!E366</f>
        <v>0</v>
      </c>
      <c r="F405" s="61" t="s">
        <v>34</v>
      </c>
      <c r="G405" s="60">
        <f>PSK_AT_verzia_4_0!G405-PSK_AT_verzia_3_5!G366</f>
        <v>0</v>
      </c>
      <c r="H405" s="60">
        <f>PSK_AT_verzia_4_0!H405-PSK_AT_verzia_3_5!H366</f>
        <v>0</v>
      </c>
      <c r="I405" s="60">
        <f>PSK_AT_verzia_4_0!I405-PSK_AT_verzia_3_5!I366</f>
        <v>0</v>
      </c>
      <c r="J405" s="60">
        <f>PSK_AT_verzia_4_0!J405-PSK_AT_verzia_3_5!J366</f>
        <v>0</v>
      </c>
      <c r="K405" s="60">
        <f>PSK_AT_verzia_4_0!K405-PSK_AT_verzia_3_5!K366</f>
        <v>0</v>
      </c>
      <c r="L405" s="60">
        <f>PSK_AT_verzia_4_0!L405-PSK_AT_verzia_3_5!L366</f>
        <v>0</v>
      </c>
      <c r="M405" s="60">
        <f>PSK_AT_verzia_4_0!M405-PSK_AT_verzia_3_5!M366</f>
        <v>0</v>
      </c>
      <c r="N405" s="60">
        <f>PSK_AT_verzia_4_0!N405-PSK_AT_verzia_3_5!N366</f>
        <v>0</v>
      </c>
      <c r="O405" s="60">
        <f>PSK_AT_verzia_4_0!O405-PSK_AT_verzia_3_5!O366</f>
        <v>0</v>
      </c>
      <c r="P405" s="60">
        <f>PSK_AT_verzia_4_0!P405-PSK_AT_verzia_3_5!P366</f>
        <v>0</v>
      </c>
      <c r="Q405" s="60">
        <f>PSK_AT_verzia_4_0!Q405-PSK_AT_verzia_3_5!Q366</f>
        <v>0</v>
      </c>
    </row>
    <row r="406" spans="1:24" ht="28" customHeight="1" x14ac:dyDescent="0.35">
      <c r="A406" s="241"/>
      <c r="B406" s="242"/>
      <c r="C406" s="200">
        <f>PSK_AT_verzia_4_0!C406-PSK_AT_verzia_3_5!C367</f>
        <v>0</v>
      </c>
      <c r="D406" s="200">
        <f>PSK_AT_verzia_4_0!D406-PSK_AT_verzia_3_5!D367</f>
        <v>0</v>
      </c>
      <c r="E406" s="200">
        <f>PSK_AT_verzia_4_0!E406-PSK_AT_verzia_3_5!E367</f>
        <v>0</v>
      </c>
      <c r="F406" s="66" t="s">
        <v>35</v>
      </c>
      <c r="G406" s="67">
        <f>PSK_AT_verzia_4_0!G406-PSK_AT_verzia_3_5!G367</f>
        <v>0</v>
      </c>
      <c r="H406" s="67">
        <f>PSK_AT_verzia_4_0!H406-PSK_AT_verzia_3_5!H367</f>
        <v>0</v>
      </c>
      <c r="I406" s="67">
        <f>PSK_AT_verzia_4_0!I406-PSK_AT_verzia_3_5!I367</f>
        <v>0</v>
      </c>
      <c r="J406" s="67">
        <f>PSK_AT_verzia_4_0!J406-PSK_AT_verzia_3_5!J367</f>
        <v>0</v>
      </c>
      <c r="K406" s="67">
        <f>PSK_AT_verzia_4_0!K406-PSK_AT_verzia_3_5!K367</f>
        <v>0</v>
      </c>
      <c r="L406" s="67">
        <f>PSK_AT_verzia_4_0!L406-PSK_AT_verzia_3_5!L367</f>
        <v>0</v>
      </c>
      <c r="M406" s="67">
        <f>PSK_AT_verzia_4_0!M406-PSK_AT_verzia_3_5!M367</f>
        <v>0</v>
      </c>
      <c r="N406" s="67">
        <f>PSK_AT_verzia_4_0!N406-PSK_AT_verzia_3_5!N367</f>
        <v>0</v>
      </c>
      <c r="O406" s="67">
        <f>PSK_AT_verzia_4_0!O406-PSK_AT_verzia_3_5!O367</f>
        <v>0</v>
      </c>
      <c r="P406" s="67">
        <f>PSK_AT_verzia_4_0!P406-PSK_AT_verzia_3_5!P367</f>
        <v>0</v>
      </c>
      <c r="Q406" s="67">
        <f>PSK_AT_verzia_4_0!Q406-PSK_AT_verzia_3_5!Q367</f>
        <v>0</v>
      </c>
    </row>
    <row r="407" spans="1:24" s="55" customFormat="1" ht="30" customHeight="1" x14ac:dyDescent="0.35">
      <c r="A407" s="45" t="s">
        <v>351</v>
      </c>
      <c r="B407" s="46" t="s">
        <v>352</v>
      </c>
      <c r="C407" s="47">
        <f>PSK_AT_verzia_4_0!C407-PSK_AT_verzia_3_5!C368</f>
        <v>0</v>
      </c>
      <c r="D407" s="47">
        <f>PSK_AT_verzia_4_0!D407-PSK_AT_verzia_3_5!D368</f>
        <v>0</v>
      </c>
      <c r="E407" s="47">
        <f>PSK_AT_verzia_4_0!E407-PSK_AT_verzia_3_5!E368</f>
        <v>0</v>
      </c>
      <c r="F407" s="48"/>
      <c r="G407" s="48">
        <f>PSK_AT_verzia_4_0!G407-PSK_AT_verzia_3_5!G368</f>
        <v>-27063664</v>
      </c>
      <c r="H407" s="48">
        <f>PSK_AT_verzia_4_0!H407-PSK_AT_verzia_3_5!H368</f>
        <v>-28675000</v>
      </c>
      <c r="I407" s="48">
        <f>PSK_AT_verzia_4_0!I407-PSK_AT_verzia_3_5!I368</f>
        <v>1611336</v>
      </c>
      <c r="J407" s="48">
        <f>PSK_AT_verzia_4_0!J407-PSK_AT_verzia_3_5!J368</f>
        <v>0</v>
      </c>
      <c r="K407" s="48">
        <f>PSK_AT_verzia_4_0!K407-PSK_AT_verzia_3_5!K368</f>
        <v>0</v>
      </c>
      <c r="L407" s="48">
        <f>PSK_AT_verzia_4_0!L407-PSK_AT_verzia_3_5!L368</f>
        <v>0</v>
      </c>
      <c r="M407" s="48">
        <f>PSK_AT_verzia_4_0!M407-PSK_AT_verzia_3_5!M368</f>
        <v>0</v>
      </c>
      <c r="N407" s="48">
        <f>PSK_AT_verzia_4_0!N407-PSK_AT_verzia_3_5!N368</f>
        <v>-27063664</v>
      </c>
      <c r="O407" s="48">
        <f>PSK_AT_verzia_4_0!O407-PSK_AT_verzia_3_5!O368</f>
        <v>-28675000</v>
      </c>
      <c r="P407" s="48">
        <f>PSK_AT_verzia_4_0!P407-PSK_AT_verzia_3_5!P368</f>
        <v>1611336</v>
      </c>
      <c r="Q407" s="48">
        <f>PSK_AT_verzia_4_0!Q407-PSK_AT_verzia_3_5!Q368</f>
        <v>0</v>
      </c>
    </row>
    <row r="408" spans="1:24" s="55" customFormat="1" ht="80.5" customHeight="1" x14ac:dyDescent="0.35">
      <c r="A408" s="241" t="s">
        <v>330</v>
      </c>
      <c r="B408" s="242" t="s">
        <v>331</v>
      </c>
      <c r="C408" s="52">
        <f>PSK_AT_verzia_4_0!C408-PSK_AT_verzia_3_5!C369</f>
        <v>0</v>
      </c>
      <c r="D408" s="52">
        <f>PSK_AT_verzia_4_0!D408-PSK_AT_verzia_3_5!D369</f>
        <v>0</v>
      </c>
      <c r="E408" s="52">
        <f>PSK_AT_verzia_4_0!E408-PSK_AT_verzia_3_5!E369</f>
        <v>0</v>
      </c>
      <c r="F408" s="54" t="s">
        <v>332</v>
      </c>
      <c r="G408" s="52">
        <f>PSK_AT_verzia_4_0!G408-PSK_AT_verzia_3_5!G369</f>
        <v>-22063664</v>
      </c>
      <c r="H408" s="52">
        <f>PSK_AT_verzia_4_0!H408-PSK_AT_verzia_3_5!H369</f>
        <v>-23675000</v>
      </c>
      <c r="I408" s="52">
        <f>PSK_AT_verzia_4_0!I408-PSK_AT_verzia_3_5!I369</f>
        <v>1611336</v>
      </c>
      <c r="J408" s="52">
        <f>PSK_AT_verzia_4_0!J408-PSK_AT_verzia_3_5!J369</f>
        <v>0</v>
      </c>
      <c r="K408" s="52">
        <f>PSK_AT_verzia_4_0!K408-PSK_AT_verzia_3_5!K369</f>
        <v>0</v>
      </c>
      <c r="L408" s="52">
        <f>PSK_AT_verzia_4_0!L408-PSK_AT_verzia_3_5!L369</f>
        <v>0</v>
      </c>
      <c r="M408" s="52">
        <f>PSK_AT_verzia_4_0!M408-PSK_AT_verzia_3_5!M369</f>
        <v>0</v>
      </c>
      <c r="N408" s="52">
        <f>PSK_AT_verzia_4_0!N408-PSK_AT_verzia_3_5!N369</f>
        <v>-22063664</v>
      </c>
      <c r="O408" s="52">
        <f>PSK_AT_verzia_4_0!O408-PSK_AT_verzia_3_5!O369</f>
        <v>-23675000</v>
      </c>
      <c r="P408" s="52">
        <f>PSK_AT_verzia_4_0!P408-PSK_AT_verzia_3_5!P369</f>
        <v>1611336</v>
      </c>
      <c r="Q408" s="52">
        <f>PSK_AT_verzia_4_0!Q408-PSK_AT_verzia_3_5!Q369</f>
        <v>0</v>
      </c>
    </row>
    <row r="409" spans="1:24" ht="28" customHeight="1" x14ac:dyDescent="0.35">
      <c r="A409" s="241"/>
      <c r="B409" s="242"/>
      <c r="C409" s="60">
        <f>PSK_AT_verzia_4_0!C409-PSK_AT_verzia_3_5!C370</f>
        <v>0</v>
      </c>
      <c r="D409" s="60">
        <f>PSK_AT_verzia_4_0!D409-PSK_AT_verzia_3_5!D370</f>
        <v>0</v>
      </c>
      <c r="E409" s="60">
        <f>PSK_AT_verzia_4_0!E409-PSK_AT_verzia_3_5!E370</f>
        <v>0</v>
      </c>
      <c r="F409" s="61" t="s">
        <v>321</v>
      </c>
      <c r="G409" s="60">
        <f>PSK_AT_verzia_4_0!G409-PSK_AT_verzia_3_5!G370</f>
        <v>-22063664</v>
      </c>
      <c r="H409" s="60">
        <f>PSK_AT_verzia_4_0!H409-PSK_AT_verzia_3_5!H370</f>
        <v>-23675000</v>
      </c>
      <c r="I409" s="60">
        <f>PSK_AT_verzia_4_0!I409-PSK_AT_verzia_3_5!I370</f>
        <v>1611336</v>
      </c>
      <c r="J409" s="60">
        <f>PSK_AT_verzia_4_0!J409-PSK_AT_verzia_3_5!J370</f>
        <v>0</v>
      </c>
      <c r="K409" s="60">
        <f>PSK_AT_verzia_4_0!K409-PSK_AT_verzia_3_5!K370</f>
        <v>0</v>
      </c>
      <c r="L409" s="60">
        <f>PSK_AT_verzia_4_0!L409-PSK_AT_verzia_3_5!L370</f>
        <v>0</v>
      </c>
      <c r="M409" s="60">
        <f>PSK_AT_verzia_4_0!M409-PSK_AT_verzia_3_5!M370</f>
        <v>0</v>
      </c>
      <c r="N409" s="60">
        <f>PSK_AT_verzia_4_0!N409-PSK_AT_verzia_3_5!N370</f>
        <v>-22063664</v>
      </c>
      <c r="O409" s="60">
        <f>PSK_AT_verzia_4_0!O409-PSK_AT_verzia_3_5!O370</f>
        <v>-23675000</v>
      </c>
      <c r="P409" s="60">
        <f>PSK_AT_verzia_4_0!P409-PSK_AT_verzia_3_5!P370</f>
        <v>1611336</v>
      </c>
      <c r="Q409" s="60">
        <f>PSK_AT_verzia_4_0!Q409-PSK_AT_verzia_3_5!Q370</f>
        <v>0</v>
      </c>
    </row>
    <row r="410" spans="1:24" ht="28" customHeight="1" x14ac:dyDescent="0.35">
      <c r="A410" s="241"/>
      <c r="B410" s="242"/>
      <c r="C410" s="200">
        <f>PSK_AT_verzia_4_0!C410-PSK_AT_verzia_3_5!C371</f>
        <v>0</v>
      </c>
      <c r="D410" s="200">
        <f>PSK_AT_verzia_4_0!D410-PSK_AT_verzia_3_5!D371</f>
        <v>0</v>
      </c>
      <c r="E410" s="200">
        <f>PSK_AT_verzia_4_0!E410-PSK_AT_verzia_3_5!E371</f>
        <v>0</v>
      </c>
      <c r="F410" s="66" t="s">
        <v>322</v>
      </c>
      <c r="G410" s="67">
        <f>PSK_AT_verzia_4_0!G410-PSK_AT_verzia_3_5!G371</f>
        <v>-22063664</v>
      </c>
      <c r="H410" s="67">
        <f>PSK_AT_verzia_4_0!H410-PSK_AT_verzia_3_5!H371</f>
        <v>-23675000</v>
      </c>
      <c r="I410" s="67">
        <f>PSK_AT_verzia_4_0!I410-PSK_AT_verzia_3_5!I371</f>
        <v>1611336</v>
      </c>
      <c r="J410" s="67">
        <f>PSK_AT_verzia_4_0!J410-PSK_AT_verzia_3_5!J371</f>
        <v>0</v>
      </c>
      <c r="K410" s="67">
        <f>PSK_AT_verzia_4_0!K410-PSK_AT_verzia_3_5!K371</f>
        <v>0</v>
      </c>
      <c r="L410" s="67">
        <f>PSK_AT_verzia_4_0!L410-PSK_AT_verzia_3_5!L371</f>
        <v>0</v>
      </c>
      <c r="M410" s="67">
        <f>PSK_AT_verzia_4_0!M410-PSK_AT_verzia_3_5!M371</f>
        <v>0</v>
      </c>
      <c r="N410" s="67">
        <f>PSK_AT_verzia_4_0!N410-PSK_AT_verzia_3_5!N371</f>
        <v>-22063664</v>
      </c>
      <c r="O410" s="67">
        <f>PSK_AT_verzia_4_0!O410-PSK_AT_verzia_3_5!O371</f>
        <v>-23675000</v>
      </c>
      <c r="P410" s="67">
        <f>PSK_AT_verzia_4_0!P410-PSK_AT_verzia_3_5!P371</f>
        <v>1611336</v>
      </c>
      <c r="Q410" s="67">
        <f>PSK_AT_verzia_4_0!Q410-PSK_AT_verzia_3_5!Q371</f>
        <v>0</v>
      </c>
    </row>
    <row r="411" spans="1:24" ht="133" customHeight="1" x14ac:dyDescent="0.35">
      <c r="A411" s="241" t="s">
        <v>353</v>
      </c>
      <c r="B411" s="242" t="s">
        <v>354</v>
      </c>
      <c r="C411" s="52">
        <f>PSK_AT_verzia_4_0!C411-PSK_AT_verzia_3_5!C372</f>
        <v>0</v>
      </c>
      <c r="D411" s="52">
        <f>PSK_AT_verzia_4_0!D411-PSK_AT_verzia_3_5!D372</f>
        <v>0</v>
      </c>
      <c r="E411" s="52">
        <f>PSK_AT_verzia_4_0!E411-PSK_AT_verzia_3_5!E372</f>
        <v>0</v>
      </c>
      <c r="F411" s="54" t="s">
        <v>355</v>
      </c>
      <c r="G411" s="52">
        <f>PSK_AT_verzia_4_0!G411-PSK_AT_verzia_3_5!G372</f>
        <v>-5000000</v>
      </c>
      <c r="H411" s="52">
        <f>PSK_AT_verzia_4_0!H411-PSK_AT_verzia_3_5!H372</f>
        <v>-5000000</v>
      </c>
      <c r="I411" s="52">
        <f>PSK_AT_verzia_4_0!I411-PSK_AT_verzia_3_5!I372</f>
        <v>0</v>
      </c>
      <c r="J411" s="52">
        <f>PSK_AT_verzia_4_0!J411-PSK_AT_verzia_3_5!J372</f>
        <v>0</v>
      </c>
      <c r="K411" s="52">
        <f>PSK_AT_verzia_4_0!K411-PSK_AT_verzia_3_5!K372</f>
        <v>0</v>
      </c>
      <c r="L411" s="52">
        <f>PSK_AT_verzia_4_0!L411-PSK_AT_verzia_3_5!L372</f>
        <v>0</v>
      </c>
      <c r="M411" s="52">
        <f>PSK_AT_verzia_4_0!M411-PSK_AT_verzia_3_5!M372</f>
        <v>0</v>
      </c>
      <c r="N411" s="52">
        <f>PSK_AT_verzia_4_0!N411-PSK_AT_verzia_3_5!N372</f>
        <v>-5000000</v>
      </c>
      <c r="O411" s="52">
        <f>PSK_AT_verzia_4_0!O411-PSK_AT_verzia_3_5!O372</f>
        <v>-5000000</v>
      </c>
      <c r="P411" s="52">
        <f>PSK_AT_verzia_4_0!P411-PSK_AT_verzia_3_5!P372</f>
        <v>0</v>
      </c>
      <c r="Q411" s="52">
        <f>PSK_AT_verzia_4_0!Q411-PSK_AT_verzia_3_5!Q372</f>
        <v>0</v>
      </c>
    </row>
    <row r="412" spans="1:24" ht="28" customHeight="1" x14ac:dyDescent="0.35">
      <c r="A412" s="241"/>
      <c r="B412" s="242"/>
      <c r="C412" s="60">
        <f>PSK_AT_verzia_4_0!C412-PSK_AT_verzia_3_5!C373</f>
        <v>0</v>
      </c>
      <c r="D412" s="112">
        <f>PSK_AT_verzia_4_0!D412-PSK_AT_verzia_3_5!D373</f>
        <v>0</v>
      </c>
      <c r="E412" s="60">
        <f>PSK_AT_verzia_4_0!E412-PSK_AT_verzia_3_5!E373</f>
        <v>0</v>
      </c>
      <c r="F412" s="61" t="s">
        <v>34</v>
      </c>
      <c r="G412" s="60">
        <f>PSK_AT_verzia_4_0!G412-PSK_AT_verzia_3_5!G373</f>
        <v>-5000000</v>
      </c>
      <c r="H412" s="60">
        <f>PSK_AT_verzia_4_0!H412-PSK_AT_verzia_3_5!H373</f>
        <v>-5000000</v>
      </c>
      <c r="I412" s="60">
        <f>PSK_AT_verzia_4_0!I412-PSK_AT_verzia_3_5!I373</f>
        <v>0</v>
      </c>
      <c r="J412" s="60">
        <f>PSK_AT_verzia_4_0!J412-PSK_AT_verzia_3_5!J373</f>
        <v>0</v>
      </c>
      <c r="K412" s="60">
        <f>PSK_AT_verzia_4_0!K412-PSK_AT_verzia_3_5!K373</f>
        <v>0</v>
      </c>
      <c r="L412" s="60">
        <f>PSK_AT_verzia_4_0!L412-PSK_AT_verzia_3_5!L373</f>
        <v>0</v>
      </c>
      <c r="M412" s="60">
        <f>PSK_AT_verzia_4_0!M412-PSK_AT_verzia_3_5!M373</f>
        <v>0</v>
      </c>
      <c r="N412" s="60">
        <f>PSK_AT_verzia_4_0!N412-PSK_AT_verzia_3_5!N373</f>
        <v>-5000000</v>
      </c>
      <c r="O412" s="60">
        <f>PSK_AT_verzia_4_0!O412-PSK_AT_verzia_3_5!O373</f>
        <v>-5000000</v>
      </c>
      <c r="P412" s="60">
        <f>PSK_AT_verzia_4_0!P412-PSK_AT_verzia_3_5!P373</f>
        <v>0</v>
      </c>
      <c r="Q412" s="60">
        <f>PSK_AT_verzia_4_0!Q412-PSK_AT_verzia_3_5!Q373</f>
        <v>0</v>
      </c>
    </row>
    <row r="413" spans="1:24" ht="28" customHeight="1" x14ac:dyDescent="0.35">
      <c r="A413" s="241"/>
      <c r="B413" s="242"/>
      <c r="C413" s="200">
        <f>PSK_AT_verzia_4_0!C413-PSK_AT_verzia_3_5!C374</f>
        <v>0</v>
      </c>
      <c r="D413" s="200">
        <f>PSK_AT_verzia_4_0!D413-PSK_AT_verzia_3_5!D374</f>
        <v>0</v>
      </c>
      <c r="E413" s="200">
        <f>PSK_AT_verzia_4_0!E413-PSK_AT_verzia_3_5!E374</f>
        <v>0</v>
      </c>
      <c r="F413" s="66" t="s">
        <v>35</v>
      </c>
      <c r="G413" s="67">
        <f>PSK_AT_verzia_4_0!G413-PSK_AT_verzia_3_5!G374</f>
        <v>-5000000</v>
      </c>
      <c r="H413" s="67">
        <f>PSK_AT_verzia_4_0!H413-PSK_AT_verzia_3_5!H374</f>
        <v>-5000000</v>
      </c>
      <c r="I413" s="67">
        <f>PSK_AT_verzia_4_0!I413-PSK_AT_verzia_3_5!I374</f>
        <v>0</v>
      </c>
      <c r="J413" s="67">
        <f>PSK_AT_verzia_4_0!J413-PSK_AT_verzia_3_5!J374</f>
        <v>0</v>
      </c>
      <c r="K413" s="67">
        <f>PSK_AT_verzia_4_0!K413-PSK_AT_verzia_3_5!K374</f>
        <v>0</v>
      </c>
      <c r="L413" s="67">
        <f>PSK_AT_verzia_4_0!L413-PSK_AT_verzia_3_5!L374</f>
        <v>0</v>
      </c>
      <c r="M413" s="67">
        <f>PSK_AT_verzia_4_0!M413-PSK_AT_verzia_3_5!M374</f>
        <v>0</v>
      </c>
      <c r="N413" s="67">
        <f>PSK_AT_verzia_4_0!N413-PSK_AT_verzia_3_5!N374</f>
        <v>-5000000</v>
      </c>
      <c r="O413" s="67">
        <f>PSK_AT_verzia_4_0!O413-PSK_AT_verzia_3_5!O374</f>
        <v>-5000000</v>
      </c>
      <c r="P413" s="67">
        <f>PSK_AT_verzia_4_0!P413-PSK_AT_verzia_3_5!P374</f>
        <v>0</v>
      </c>
      <c r="Q413" s="67">
        <f>PSK_AT_verzia_4_0!Q413-PSK_AT_verzia_3_5!Q374</f>
        <v>0</v>
      </c>
    </row>
    <row r="414" spans="1:24" ht="28" customHeight="1" x14ac:dyDescent="0.35">
      <c r="A414" s="241"/>
      <c r="B414" s="242"/>
      <c r="C414" s="200">
        <f>PSK_AT_verzia_4_0!C414-PSK_AT_verzia_3_5!C375</f>
        <v>0</v>
      </c>
      <c r="D414" s="200">
        <f>PSK_AT_verzia_4_0!D414-PSK_AT_verzia_3_5!D375</f>
        <v>0</v>
      </c>
      <c r="E414" s="200">
        <f>PSK_AT_verzia_4_0!E414-PSK_AT_verzia_3_5!E375</f>
        <v>0</v>
      </c>
      <c r="F414" s="66" t="s">
        <v>347</v>
      </c>
      <c r="G414" s="103">
        <f>PSK_AT_verzia_4_0!G414-PSK_AT_verzia_3_5!G375</f>
        <v>0</v>
      </c>
      <c r="H414" s="103">
        <f>PSK_AT_verzia_4_0!H414-PSK_AT_verzia_3_5!H375</f>
        <v>0</v>
      </c>
      <c r="I414" s="103">
        <f>PSK_AT_verzia_4_0!I414-PSK_AT_verzia_3_5!I375</f>
        <v>0</v>
      </c>
      <c r="J414" s="103">
        <f>PSK_AT_verzia_4_0!J414-PSK_AT_verzia_3_5!J375</f>
        <v>0</v>
      </c>
      <c r="K414" s="103">
        <f>PSK_AT_verzia_4_0!K414-PSK_AT_verzia_3_5!K375</f>
        <v>0</v>
      </c>
      <c r="L414" s="103">
        <f>PSK_AT_verzia_4_0!L414-PSK_AT_verzia_3_5!L375</f>
        <v>0</v>
      </c>
      <c r="M414" s="103">
        <f>PSK_AT_verzia_4_0!M414-PSK_AT_verzia_3_5!M375</f>
        <v>0</v>
      </c>
      <c r="N414" s="103">
        <f>PSK_AT_verzia_4_0!N414-PSK_AT_verzia_3_5!N375</f>
        <v>0</v>
      </c>
      <c r="O414" s="103">
        <f>PSK_AT_verzia_4_0!O414-PSK_AT_verzia_3_5!O375</f>
        <v>0</v>
      </c>
      <c r="P414" s="103">
        <f>PSK_AT_verzia_4_0!P414-PSK_AT_verzia_3_5!P375</f>
        <v>0</v>
      </c>
      <c r="Q414" s="103">
        <f>PSK_AT_verzia_4_0!Q414-PSK_AT_verzia_3_5!Q375</f>
        <v>0</v>
      </c>
    </row>
    <row r="415" spans="1:24" ht="105" customHeight="1" x14ac:dyDescent="0.35">
      <c r="A415" s="243" t="s">
        <v>348</v>
      </c>
      <c r="B415" s="246" t="s">
        <v>349</v>
      </c>
      <c r="C415" s="52">
        <f>PSK_AT_verzia_4_0!C415-PSK_AT_verzia_3_5!C376</f>
        <v>0</v>
      </c>
      <c r="D415" s="52">
        <f>PSK_AT_verzia_4_0!D415-PSK_AT_verzia_3_5!D376</f>
        <v>0</v>
      </c>
      <c r="E415" s="52">
        <f>PSK_AT_verzia_4_0!E415-PSK_AT_verzia_3_5!E376</f>
        <v>0</v>
      </c>
      <c r="F415" s="54" t="s">
        <v>350</v>
      </c>
      <c r="G415" s="52">
        <f>PSK_AT_verzia_4_0!G415-PSK_AT_verzia_3_5!G376</f>
        <v>0</v>
      </c>
      <c r="H415" s="52">
        <f>PSK_AT_verzia_4_0!H415-PSK_AT_verzia_3_5!H376</f>
        <v>0</v>
      </c>
      <c r="I415" s="52">
        <f>PSK_AT_verzia_4_0!I415-PSK_AT_verzia_3_5!I376</f>
        <v>0</v>
      </c>
      <c r="J415" s="52">
        <f>PSK_AT_verzia_4_0!J415-PSK_AT_verzia_3_5!J376</f>
        <v>0</v>
      </c>
      <c r="K415" s="52">
        <f>PSK_AT_verzia_4_0!K415-PSK_AT_verzia_3_5!K376</f>
        <v>0</v>
      </c>
      <c r="L415" s="52">
        <f>PSK_AT_verzia_4_0!L415-PSK_AT_verzia_3_5!L376</f>
        <v>0</v>
      </c>
      <c r="M415" s="52">
        <f>PSK_AT_verzia_4_0!M415-PSK_AT_verzia_3_5!M376</f>
        <v>0</v>
      </c>
      <c r="N415" s="52">
        <f>PSK_AT_verzia_4_0!N415-PSK_AT_verzia_3_5!N376</f>
        <v>0</v>
      </c>
      <c r="O415" s="52">
        <f>PSK_AT_verzia_4_0!O415-PSK_AT_verzia_3_5!O376</f>
        <v>0</v>
      </c>
      <c r="P415" s="52">
        <f>PSK_AT_verzia_4_0!P415-PSK_AT_verzia_3_5!P376</f>
        <v>0</v>
      </c>
      <c r="Q415" s="52">
        <f>PSK_AT_verzia_4_0!Q415-PSK_AT_verzia_3_5!Q376</f>
        <v>0</v>
      </c>
    </row>
    <row r="416" spans="1:24" ht="28" customHeight="1" x14ac:dyDescent="0.35">
      <c r="A416" s="244"/>
      <c r="B416" s="247"/>
      <c r="C416" s="60">
        <f>PSK_AT_verzia_4_0!C416-PSK_AT_verzia_3_5!C377</f>
        <v>0</v>
      </c>
      <c r="D416" s="60">
        <f>PSK_AT_verzia_4_0!D416-PSK_AT_verzia_3_5!D377</f>
        <v>0</v>
      </c>
      <c r="E416" s="60">
        <f>PSK_AT_verzia_4_0!E416-PSK_AT_verzia_3_5!E377</f>
        <v>0</v>
      </c>
      <c r="F416" s="61" t="s">
        <v>34</v>
      </c>
      <c r="G416" s="60">
        <f>PSK_AT_verzia_4_0!G416-PSK_AT_verzia_3_5!G377</f>
        <v>0</v>
      </c>
      <c r="H416" s="60">
        <f>PSK_AT_verzia_4_0!H416-PSK_AT_verzia_3_5!H377</f>
        <v>0</v>
      </c>
      <c r="I416" s="60">
        <f>PSK_AT_verzia_4_0!I416-PSK_AT_verzia_3_5!I377</f>
        <v>0</v>
      </c>
      <c r="J416" s="60">
        <f>PSK_AT_verzia_4_0!J416-PSK_AT_verzia_3_5!J377</f>
        <v>0</v>
      </c>
      <c r="K416" s="60">
        <f>PSK_AT_verzia_4_0!K416-PSK_AT_verzia_3_5!K377</f>
        <v>0</v>
      </c>
      <c r="L416" s="60">
        <f>PSK_AT_verzia_4_0!L416-PSK_AT_verzia_3_5!L377</f>
        <v>0</v>
      </c>
      <c r="M416" s="60">
        <f>PSK_AT_verzia_4_0!M416-PSK_AT_verzia_3_5!M377</f>
        <v>0</v>
      </c>
      <c r="N416" s="60">
        <f>PSK_AT_verzia_4_0!N416-PSK_AT_verzia_3_5!N377</f>
        <v>0</v>
      </c>
      <c r="O416" s="60">
        <f>PSK_AT_verzia_4_0!O416-PSK_AT_verzia_3_5!O377</f>
        <v>0</v>
      </c>
      <c r="P416" s="60">
        <f>PSK_AT_verzia_4_0!P416-PSK_AT_verzia_3_5!P377</f>
        <v>0</v>
      </c>
      <c r="Q416" s="60">
        <f>PSK_AT_verzia_4_0!Q416-PSK_AT_verzia_3_5!Q377</f>
        <v>0</v>
      </c>
    </row>
    <row r="417" spans="1:17" ht="28" customHeight="1" x14ac:dyDescent="0.35">
      <c r="A417" s="244"/>
      <c r="B417" s="247"/>
      <c r="C417" s="200">
        <f>PSK_AT_verzia_4_0!C417-PSK_AT_verzia_3_5!C378</f>
        <v>0</v>
      </c>
      <c r="D417" s="200">
        <f>PSK_AT_verzia_4_0!D417-PSK_AT_verzia_3_5!D378</f>
        <v>0</v>
      </c>
      <c r="E417" s="200">
        <f>PSK_AT_verzia_4_0!E417-PSK_AT_verzia_3_5!E378</f>
        <v>0</v>
      </c>
      <c r="F417" s="66" t="s">
        <v>35</v>
      </c>
      <c r="G417" s="67">
        <f>PSK_AT_verzia_4_0!G417-PSK_AT_verzia_3_5!G378</f>
        <v>0</v>
      </c>
      <c r="H417" s="67">
        <f>PSK_AT_verzia_4_0!H417-PSK_AT_verzia_3_5!H378</f>
        <v>0</v>
      </c>
      <c r="I417" s="67">
        <f>PSK_AT_verzia_4_0!I417-PSK_AT_verzia_3_5!I378</f>
        <v>0</v>
      </c>
      <c r="J417" s="67">
        <f>PSK_AT_verzia_4_0!J417-PSK_AT_verzia_3_5!J378</f>
        <v>0</v>
      </c>
      <c r="K417" s="67">
        <f>PSK_AT_verzia_4_0!K417-PSK_AT_verzia_3_5!K378</f>
        <v>0</v>
      </c>
      <c r="L417" s="67">
        <f>PSK_AT_verzia_4_0!L417-PSK_AT_verzia_3_5!L378</f>
        <v>0</v>
      </c>
      <c r="M417" s="67">
        <f>PSK_AT_verzia_4_0!M417-PSK_AT_verzia_3_5!M378</f>
        <v>0</v>
      </c>
      <c r="N417" s="67">
        <f>PSK_AT_verzia_4_0!N417-PSK_AT_verzia_3_5!N378</f>
        <v>0</v>
      </c>
      <c r="O417" s="67">
        <f>PSK_AT_verzia_4_0!O417-PSK_AT_verzia_3_5!O378</f>
        <v>0</v>
      </c>
      <c r="P417" s="67">
        <f>PSK_AT_verzia_4_0!P417-PSK_AT_verzia_3_5!P378</f>
        <v>0</v>
      </c>
      <c r="Q417" s="67">
        <f>PSK_AT_verzia_4_0!Q417-PSK_AT_verzia_3_5!Q378</f>
        <v>0</v>
      </c>
    </row>
    <row r="418" spans="1:17" ht="30" customHeight="1" x14ac:dyDescent="0.35">
      <c r="A418" s="45" t="s">
        <v>356</v>
      </c>
      <c r="B418" s="46" t="s">
        <v>357</v>
      </c>
      <c r="C418" s="47">
        <f>PSK_AT_verzia_4_0!C418-PSK_AT_verzia_3_5!C379</f>
        <v>0</v>
      </c>
      <c r="D418" s="47">
        <f>PSK_AT_verzia_4_0!D418-PSK_AT_verzia_3_5!D379</f>
        <v>0</v>
      </c>
      <c r="E418" s="47">
        <f>PSK_AT_verzia_4_0!E418-PSK_AT_verzia_3_5!E379</f>
        <v>0</v>
      </c>
      <c r="F418" s="49"/>
      <c r="G418" s="48">
        <f>PSK_AT_verzia_4_0!G418-PSK_AT_verzia_3_5!G379</f>
        <v>4349859</v>
      </c>
      <c r="H418" s="48">
        <f>PSK_AT_verzia_4_0!H418-PSK_AT_verzia_3_5!H379</f>
        <v>6684859</v>
      </c>
      <c r="I418" s="48">
        <f>PSK_AT_verzia_4_0!I418-PSK_AT_verzia_3_5!I379</f>
        <v>-2335000</v>
      </c>
      <c r="J418" s="48">
        <f>PSK_AT_verzia_4_0!J418-PSK_AT_verzia_3_5!J379</f>
        <v>0</v>
      </c>
      <c r="K418" s="48">
        <f>PSK_AT_verzia_4_0!K418-PSK_AT_verzia_3_5!K379</f>
        <v>0</v>
      </c>
      <c r="L418" s="48">
        <f>PSK_AT_verzia_4_0!L418-PSK_AT_verzia_3_5!L379</f>
        <v>0</v>
      </c>
      <c r="M418" s="48">
        <f>PSK_AT_verzia_4_0!M418-PSK_AT_verzia_3_5!M379</f>
        <v>0</v>
      </c>
      <c r="N418" s="48">
        <f>PSK_AT_verzia_4_0!N418-PSK_AT_verzia_3_5!N379</f>
        <v>4349859</v>
      </c>
      <c r="O418" s="48">
        <f>PSK_AT_verzia_4_0!O418-PSK_AT_verzia_3_5!O379</f>
        <v>6684859</v>
      </c>
      <c r="P418" s="48">
        <f>PSK_AT_verzia_4_0!P418-PSK_AT_verzia_3_5!P379</f>
        <v>-2335000</v>
      </c>
      <c r="Q418" s="48">
        <f>PSK_AT_verzia_4_0!Q418-PSK_AT_verzia_3_5!Q379</f>
        <v>0</v>
      </c>
    </row>
    <row r="419" spans="1:17" ht="124.5" customHeight="1" x14ac:dyDescent="0.35">
      <c r="A419" s="241" t="s">
        <v>318</v>
      </c>
      <c r="B419" s="242" t="s">
        <v>319</v>
      </c>
      <c r="C419" s="52">
        <f>PSK_AT_verzia_4_0!C419-PSK_AT_verzia_3_5!C380</f>
        <v>0</v>
      </c>
      <c r="D419" s="52">
        <f>PSK_AT_verzia_4_0!D419-PSK_AT_verzia_3_5!D380</f>
        <v>0</v>
      </c>
      <c r="E419" s="52">
        <f>PSK_AT_verzia_4_0!E419-PSK_AT_verzia_3_5!E380</f>
        <v>0</v>
      </c>
      <c r="F419" s="54" t="s">
        <v>320</v>
      </c>
      <c r="G419" s="52">
        <f>PSK_AT_verzia_4_0!G419-PSK_AT_verzia_3_5!G380</f>
        <v>-3879500</v>
      </c>
      <c r="H419" s="52">
        <f>PSK_AT_verzia_4_0!H419-PSK_AT_verzia_3_5!H380</f>
        <v>-2819500</v>
      </c>
      <c r="I419" s="52">
        <f>PSK_AT_verzia_4_0!I419-PSK_AT_verzia_3_5!I380</f>
        <v>-1060000</v>
      </c>
      <c r="J419" s="52">
        <f>PSK_AT_verzia_4_0!J419-PSK_AT_verzia_3_5!J380</f>
        <v>0</v>
      </c>
      <c r="K419" s="52">
        <f>PSK_AT_verzia_4_0!K419-PSK_AT_verzia_3_5!K380</f>
        <v>0</v>
      </c>
      <c r="L419" s="52">
        <f>PSK_AT_verzia_4_0!L419-PSK_AT_verzia_3_5!L380</f>
        <v>0</v>
      </c>
      <c r="M419" s="52">
        <f>PSK_AT_verzia_4_0!M419-PSK_AT_verzia_3_5!M380</f>
        <v>0</v>
      </c>
      <c r="N419" s="52">
        <f>PSK_AT_verzia_4_0!N419-PSK_AT_verzia_3_5!N380</f>
        <v>-3879500</v>
      </c>
      <c r="O419" s="52">
        <f>PSK_AT_verzia_4_0!O419-PSK_AT_verzia_3_5!O380</f>
        <v>-2819500</v>
      </c>
      <c r="P419" s="52">
        <f>PSK_AT_verzia_4_0!P419-PSK_AT_verzia_3_5!P380</f>
        <v>-1060000</v>
      </c>
      <c r="Q419" s="52">
        <f>PSK_AT_verzia_4_0!Q419-PSK_AT_verzia_3_5!Q380</f>
        <v>0</v>
      </c>
    </row>
    <row r="420" spans="1:17" ht="28" customHeight="1" x14ac:dyDescent="0.35">
      <c r="A420" s="241"/>
      <c r="B420" s="242"/>
      <c r="C420" s="60">
        <f>PSK_AT_verzia_4_0!C420-PSK_AT_verzia_3_5!C381</f>
        <v>0</v>
      </c>
      <c r="D420" s="112">
        <f>PSK_AT_verzia_4_0!D420-PSK_AT_verzia_3_5!D381</f>
        <v>0</v>
      </c>
      <c r="E420" s="60">
        <f>PSK_AT_verzia_4_0!E420-PSK_AT_verzia_3_5!E381</f>
        <v>0</v>
      </c>
      <c r="F420" s="61" t="s">
        <v>321</v>
      </c>
      <c r="G420" s="60">
        <f>PSK_AT_verzia_4_0!G420-PSK_AT_verzia_3_5!G381</f>
        <v>-3879500</v>
      </c>
      <c r="H420" s="60">
        <f>PSK_AT_verzia_4_0!H420-PSK_AT_verzia_3_5!H381</f>
        <v>-2819500</v>
      </c>
      <c r="I420" s="60">
        <f>PSK_AT_verzia_4_0!I420-PSK_AT_verzia_3_5!I381</f>
        <v>-1060000</v>
      </c>
      <c r="J420" s="60">
        <f>PSK_AT_verzia_4_0!J420-PSK_AT_verzia_3_5!J381</f>
        <v>0</v>
      </c>
      <c r="K420" s="60">
        <f>PSK_AT_verzia_4_0!K420-PSK_AT_verzia_3_5!K381</f>
        <v>0</v>
      </c>
      <c r="L420" s="60">
        <f>PSK_AT_verzia_4_0!L420-PSK_AT_verzia_3_5!L381</f>
        <v>0</v>
      </c>
      <c r="M420" s="60">
        <f>PSK_AT_verzia_4_0!M420-PSK_AT_verzia_3_5!M381</f>
        <v>0</v>
      </c>
      <c r="N420" s="60">
        <f>PSK_AT_verzia_4_0!N420-PSK_AT_verzia_3_5!N381</f>
        <v>-3879500</v>
      </c>
      <c r="O420" s="60">
        <f>PSK_AT_verzia_4_0!O420-PSK_AT_verzia_3_5!O381</f>
        <v>-2819500</v>
      </c>
      <c r="P420" s="60">
        <f>PSK_AT_verzia_4_0!P420-PSK_AT_verzia_3_5!P381</f>
        <v>-1060000</v>
      </c>
      <c r="Q420" s="60">
        <f>PSK_AT_verzia_4_0!Q420-PSK_AT_verzia_3_5!Q381</f>
        <v>0</v>
      </c>
    </row>
    <row r="421" spans="1:17" ht="28" customHeight="1" x14ac:dyDescent="0.35">
      <c r="A421" s="241"/>
      <c r="B421" s="242"/>
      <c r="C421" s="200">
        <f>PSK_AT_verzia_4_0!C421-PSK_AT_verzia_3_5!C382</f>
        <v>0</v>
      </c>
      <c r="D421" s="200">
        <f>PSK_AT_verzia_4_0!D421-PSK_AT_verzia_3_5!D382</f>
        <v>0</v>
      </c>
      <c r="E421" s="200">
        <f>PSK_AT_verzia_4_0!E421-PSK_AT_verzia_3_5!E382</f>
        <v>0</v>
      </c>
      <c r="F421" s="66" t="s">
        <v>322</v>
      </c>
      <c r="G421" s="67">
        <f>PSK_AT_verzia_4_0!G421-PSK_AT_verzia_3_5!G382</f>
        <v>-3879500</v>
      </c>
      <c r="H421" s="67">
        <f>PSK_AT_verzia_4_0!H421-PSK_AT_verzia_3_5!H382</f>
        <v>-2819500</v>
      </c>
      <c r="I421" s="67">
        <f>PSK_AT_verzia_4_0!I421-PSK_AT_verzia_3_5!I382</f>
        <v>-1060000</v>
      </c>
      <c r="J421" s="67">
        <f>PSK_AT_verzia_4_0!J421-PSK_AT_verzia_3_5!J382</f>
        <v>0</v>
      </c>
      <c r="K421" s="67">
        <f>PSK_AT_verzia_4_0!K421-PSK_AT_verzia_3_5!K382</f>
        <v>0</v>
      </c>
      <c r="L421" s="67">
        <f>PSK_AT_verzia_4_0!L421-PSK_AT_verzia_3_5!L382</f>
        <v>0</v>
      </c>
      <c r="M421" s="67">
        <f>PSK_AT_verzia_4_0!M421-PSK_AT_verzia_3_5!M382</f>
        <v>0</v>
      </c>
      <c r="N421" s="67">
        <f>PSK_AT_verzia_4_0!N421-PSK_AT_verzia_3_5!N382</f>
        <v>-3879500</v>
      </c>
      <c r="O421" s="67">
        <f>PSK_AT_verzia_4_0!O421-PSK_AT_verzia_3_5!O382</f>
        <v>-2819500</v>
      </c>
      <c r="P421" s="67">
        <f>PSK_AT_verzia_4_0!P421-PSK_AT_verzia_3_5!P382</f>
        <v>-1060000</v>
      </c>
      <c r="Q421" s="67">
        <f>PSK_AT_verzia_4_0!Q421-PSK_AT_verzia_3_5!Q382</f>
        <v>0</v>
      </c>
    </row>
    <row r="422" spans="1:17" ht="28" customHeight="1" x14ac:dyDescent="0.35">
      <c r="A422" s="241"/>
      <c r="B422" s="242"/>
      <c r="C422" s="200">
        <f>PSK_AT_verzia_4_0!C422-PSK_AT_verzia_3_5!C383</f>
        <v>0</v>
      </c>
      <c r="D422" s="200">
        <f>PSK_AT_verzia_4_0!D422-PSK_AT_verzia_3_5!D383</f>
        <v>0</v>
      </c>
      <c r="E422" s="200">
        <f>PSK_AT_verzia_4_0!E422-PSK_AT_verzia_3_5!E383</f>
        <v>0</v>
      </c>
      <c r="F422" s="66" t="s">
        <v>323</v>
      </c>
      <c r="G422" s="103">
        <f>PSK_AT_verzia_4_0!G422-PSK_AT_verzia_3_5!G383</f>
        <v>0</v>
      </c>
      <c r="H422" s="103">
        <f>PSK_AT_verzia_4_0!H422-PSK_AT_verzia_3_5!H383</f>
        <v>0</v>
      </c>
      <c r="I422" s="103">
        <f>PSK_AT_verzia_4_0!I422-PSK_AT_verzia_3_5!I383</f>
        <v>0</v>
      </c>
      <c r="J422" s="103">
        <f>PSK_AT_verzia_4_0!J422-PSK_AT_verzia_3_5!J383</f>
        <v>0</v>
      </c>
      <c r="K422" s="103">
        <f>PSK_AT_verzia_4_0!K422-PSK_AT_verzia_3_5!K383</f>
        <v>0</v>
      </c>
      <c r="L422" s="103">
        <f>PSK_AT_verzia_4_0!L422-PSK_AT_verzia_3_5!L383</f>
        <v>0</v>
      </c>
      <c r="M422" s="103">
        <f>PSK_AT_verzia_4_0!M422-PSK_AT_verzia_3_5!M383</f>
        <v>0</v>
      </c>
      <c r="N422" s="103">
        <f>PSK_AT_verzia_4_0!N422-PSK_AT_verzia_3_5!N383</f>
        <v>0</v>
      </c>
      <c r="O422" s="103">
        <f>PSK_AT_verzia_4_0!O422-PSK_AT_verzia_3_5!O383</f>
        <v>0</v>
      </c>
      <c r="P422" s="103">
        <f>PSK_AT_verzia_4_0!P422-PSK_AT_verzia_3_5!P383</f>
        <v>0</v>
      </c>
      <c r="Q422" s="103">
        <f>PSK_AT_verzia_4_0!Q422-PSK_AT_verzia_3_5!Q383</f>
        <v>0</v>
      </c>
    </row>
    <row r="423" spans="1:17" ht="183.65" customHeight="1" x14ac:dyDescent="0.35">
      <c r="A423" s="241" t="s">
        <v>344</v>
      </c>
      <c r="B423" s="242" t="s">
        <v>345</v>
      </c>
      <c r="C423" s="52">
        <f>PSK_AT_verzia_4_0!C423-PSK_AT_verzia_3_5!C384</f>
        <v>0</v>
      </c>
      <c r="D423" s="52">
        <f>PSK_AT_verzia_4_0!D423-PSK_AT_verzia_3_5!D384</f>
        <v>0</v>
      </c>
      <c r="E423" s="52">
        <f>PSK_AT_verzia_4_0!E423-PSK_AT_verzia_3_5!E384</f>
        <v>0</v>
      </c>
      <c r="F423" s="54" t="s">
        <v>346</v>
      </c>
      <c r="G423" s="52">
        <f>PSK_AT_verzia_4_0!G423-PSK_AT_verzia_3_5!G384</f>
        <v>4349859</v>
      </c>
      <c r="H423" s="52">
        <f>PSK_AT_verzia_4_0!H423-PSK_AT_verzia_3_5!H384</f>
        <v>4349859</v>
      </c>
      <c r="I423" s="52">
        <f>PSK_AT_verzia_4_0!I423-PSK_AT_verzia_3_5!I384</f>
        <v>0</v>
      </c>
      <c r="J423" s="52">
        <f>PSK_AT_verzia_4_0!J423-PSK_AT_verzia_3_5!J384</f>
        <v>0</v>
      </c>
      <c r="K423" s="52">
        <f>PSK_AT_verzia_4_0!K423-PSK_AT_verzia_3_5!K384</f>
        <v>0</v>
      </c>
      <c r="L423" s="52">
        <f>PSK_AT_verzia_4_0!L423-PSK_AT_verzia_3_5!L384</f>
        <v>0</v>
      </c>
      <c r="M423" s="52">
        <f>PSK_AT_verzia_4_0!M423-PSK_AT_verzia_3_5!M384</f>
        <v>0</v>
      </c>
      <c r="N423" s="52">
        <f>PSK_AT_verzia_4_0!N423-PSK_AT_verzia_3_5!N384</f>
        <v>4349859</v>
      </c>
      <c r="O423" s="52">
        <f>PSK_AT_verzia_4_0!O423-PSK_AT_verzia_3_5!O384</f>
        <v>4349859</v>
      </c>
      <c r="P423" s="52">
        <f>PSK_AT_verzia_4_0!P423-PSK_AT_verzia_3_5!P384</f>
        <v>0</v>
      </c>
      <c r="Q423" s="52">
        <f>PSK_AT_verzia_4_0!Q423-PSK_AT_verzia_3_5!Q384</f>
        <v>0</v>
      </c>
    </row>
    <row r="424" spans="1:17" ht="28" customHeight="1" x14ac:dyDescent="0.35">
      <c r="A424" s="241"/>
      <c r="B424" s="242"/>
      <c r="C424" s="60">
        <f>PSK_AT_verzia_4_0!C424-PSK_AT_verzia_3_5!C385</f>
        <v>0</v>
      </c>
      <c r="D424" s="112">
        <f>PSK_AT_verzia_4_0!D424-PSK_AT_verzia_3_5!D385</f>
        <v>0</v>
      </c>
      <c r="E424" s="60">
        <f>PSK_AT_verzia_4_0!E424-PSK_AT_verzia_3_5!E385</f>
        <v>0</v>
      </c>
      <c r="F424" s="61" t="s">
        <v>34</v>
      </c>
      <c r="G424" s="60">
        <f>PSK_AT_verzia_4_0!G424-PSK_AT_verzia_3_5!G385</f>
        <v>4349859</v>
      </c>
      <c r="H424" s="60">
        <f>PSK_AT_verzia_4_0!H424-PSK_AT_verzia_3_5!H385</f>
        <v>4349859</v>
      </c>
      <c r="I424" s="60">
        <f>PSK_AT_verzia_4_0!I424-PSK_AT_verzia_3_5!I385</f>
        <v>0</v>
      </c>
      <c r="J424" s="60">
        <f>PSK_AT_verzia_4_0!J424-PSK_AT_verzia_3_5!J385</f>
        <v>0</v>
      </c>
      <c r="K424" s="60">
        <f>PSK_AT_verzia_4_0!K424-PSK_AT_verzia_3_5!K385</f>
        <v>0</v>
      </c>
      <c r="L424" s="60">
        <f>PSK_AT_verzia_4_0!L424-PSK_AT_verzia_3_5!L385</f>
        <v>0</v>
      </c>
      <c r="M424" s="60">
        <f>PSK_AT_verzia_4_0!M424-PSK_AT_verzia_3_5!M385</f>
        <v>0</v>
      </c>
      <c r="N424" s="60">
        <f>PSK_AT_verzia_4_0!N424-PSK_AT_verzia_3_5!N385</f>
        <v>4349859</v>
      </c>
      <c r="O424" s="60">
        <f>PSK_AT_verzia_4_0!O424-PSK_AT_verzia_3_5!O385</f>
        <v>4349859</v>
      </c>
      <c r="P424" s="60">
        <f>PSK_AT_verzia_4_0!P424-PSK_AT_verzia_3_5!P385</f>
        <v>0</v>
      </c>
      <c r="Q424" s="60">
        <f>PSK_AT_verzia_4_0!Q424-PSK_AT_verzia_3_5!Q385</f>
        <v>0</v>
      </c>
    </row>
    <row r="425" spans="1:17" ht="28" customHeight="1" x14ac:dyDescent="0.35">
      <c r="A425" s="241"/>
      <c r="B425" s="242"/>
      <c r="C425" s="200">
        <f>PSK_AT_verzia_4_0!C425-PSK_AT_verzia_3_5!C386</f>
        <v>0</v>
      </c>
      <c r="D425" s="200">
        <f>PSK_AT_verzia_4_0!D425-PSK_AT_verzia_3_5!D386</f>
        <v>0</v>
      </c>
      <c r="E425" s="200">
        <f>PSK_AT_verzia_4_0!E425-PSK_AT_verzia_3_5!E386</f>
        <v>0</v>
      </c>
      <c r="F425" s="66" t="s">
        <v>35</v>
      </c>
      <c r="G425" s="67">
        <f>PSK_AT_verzia_4_0!G425-PSK_AT_verzia_3_5!G386</f>
        <v>4349859</v>
      </c>
      <c r="H425" s="67">
        <f>PSK_AT_verzia_4_0!H425-PSK_AT_verzia_3_5!H386</f>
        <v>4349859</v>
      </c>
      <c r="I425" s="67">
        <f>PSK_AT_verzia_4_0!I425-PSK_AT_verzia_3_5!I386</f>
        <v>0</v>
      </c>
      <c r="J425" s="67">
        <f>PSK_AT_verzia_4_0!J425-PSK_AT_verzia_3_5!J386</f>
        <v>0</v>
      </c>
      <c r="K425" s="67">
        <f>PSK_AT_verzia_4_0!K425-PSK_AT_verzia_3_5!K386</f>
        <v>0</v>
      </c>
      <c r="L425" s="67">
        <f>PSK_AT_verzia_4_0!L425-PSK_AT_verzia_3_5!L386</f>
        <v>0</v>
      </c>
      <c r="M425" s="67">
        <f>PSK_AT_verzia_4_0!M425-PSK_AT_verzia_3_5!M386</f>
        <v>0</v>
      </c>
      <c r="N425" s="67">
        <f>PSK_AT_verzia_4_0!N425-PSK_AT_verzia_3_5!N386</f>
        <v>4349859</v>
      </c>
      <c r="O425" s="67">
        <f>PSK_AT_verzia_4_0!O425-PSK_AT_verzia_3_5!O386</f>
        <v>4349859</v>
      </c>
      <c r="P425" s="67">
        <f>PSK_AT_verzia_4_0!P425-PSK_AT_verzia_3_5!P386</f>
        <v>0</v>
      </c>
      <c r="Q425" s="67">
        <f>PSK_AT_verzia_4_0!Q425-PSK_AT_verzia_3_5!Q386</f>
        <v>0</v>
      </c>
    </row>
    <row r="426" spans="1:17" ht="28" customHeight="1" x14ac:dyDescent="0.35">
      <c r="A426" s="241"/>
      <c r="B426" s="242"/>
      <c r="C426" s="200">
        <f>PSK_AT_verzia_4_0!C426-PSK_AT_verzia_3_5!C387</f>
        <v>0</v>
      </c>
      <c r="D426" s="200">
        <f>PSK_AT_verzia_4_0!D426-PSK_AT_verzia_3_5!D387</f>
        <v>0</v>
      </c>
      <c r="E426" s="200">
        <f>PSK_AT_verzia_4_0!E426-PSK_AT_verzia_3_5!E387</f>
        <v>0</v>
      </c>
      <c r="F426" s="66" t="s">
        <v>347</v>
      </c>
      <c r="G426" s="103">
        <f>PSK_AT_verzia_4_0!G426-PSK_AT_verzia_3_5!G387</f>
        <v>0</v>
      </c>
      <c r="H426" s="103">
        <f>PSK_AT_verzia_4_0!H426-PSK_AT_verzia_3_5!H387</f>
        <v>0</v>
      </c>
      <c r="I426" s="103">
        <f>PSK_AT_verzia_4_0!I426-PSK_AT_verzia_3_5!I387</f>
        <v>0</v>
      </c>
      <c r="J426" s="103">
        <f>PSK_AT_verzia_4_0!J426-PSK_AT_verzia_3_5!J387</f>
        <v>0</v>
      </c>
      <c r="K426" s="103">
        <f>PSK_AT_verzia_4_0!K426-PSK_AT_verzia_3_5!K387</f>
        <v>0</v>
      </c>
      <c r="L426" s="103">
        <f>PSK_AT_verzia_4_0!L426-PSK_AT_verzia_3_5!L387</f>
        <v>0</v>
      </c>
      <c r="M426" s="103">
        <f>PSK_AT_verzia_4_0!M426-PSK_AT_verzia_3_5!M387</f>
        <v>0</v>
      </c>
      <c r="N426" s="103">
        <f>PSK_AT_verzia_4_0!N426-PSK_AT_verzia_3_5!N387</f>
        <v>0</v>
      </c>
      <c r="O426" s="103">
        <f>PSK_AT_verzia_4_0!O426-PSK_AT_verzia_3_5!O387</f>
        <v>0</v>
      </c>
      <c r="P426" s="103">
        <f>PSK_AT_verzia_4_0!P426-PSK_AT_verzia_3_5!P387</f>
        <v>0</v>
      </c>
      <c r="Q426" s="103">
        <f>PSK_AT_verzia_4_0!Q426-PSK_AT_verzia_3_5!Q387</f>
        <v>0</v>
      </c>
    </row>
    <row r="427" spans="1:17" ht="47" x14ac:dyDescent="0.35">
      <c r="A427" s="241" t="s">
        <v>358</v>
      </c>
      <c r="B427" s="242" t="s">
        <v>359</v>
      </c>
      <c r="C427" s="52">
        <f>PSK_AT_verzia_4_0!C427-PSK_AT_verzia_3_5!C388</f>
        <v>0</v>
      </c>
      <c r="D427" s="52">
        <f>PSK_AT_verzia_4_0!D427-PSK_AT_verzia_3_5!D388</f>
        <v>0</v>
      </c>
      <c r="E427" s="52">
        <f>PSK_AT_verzia_4_0!E427-PSK_AT_verzia_3_5!E388</f>
        <v>0</v>
      </c>
      <c r="F427" s="54" t="s">
        <v>360</v>
      </c>
      <c r="G427" s="52">
        <f>PSK_AT_verzia_4_0!G427-PSK_AT_verzia_3_5!G388</f>
        <v>3879500</v>
      </c>
      <c r="H427" s="52">
        <f>PSK_AT_verzia_4_0!H427-PSK_AT_verzia_3_5!H388</f>
        <v>5154500</v>
      </c>
      <c r="I427" s="52">
        <f>PSK_AT_verzia_4_0!I427-PSK_AT_verzia_3_5!I388</f>
        <v>-1275000</v>
      </c>
      <c r="J427" s="52">
        <f>PSK_AT_verzia_4_0!J427-PSK_AT_verzia_3_5!J388</f>
        <v>0</v>
      </c>
      <c r="K427" s="52">
        <f>PSK_AT_verzia_4_0!K427-PSK_AT_verzia_3_5!K388</f>
        <v>0</v>
      </c>
      <c r="L427" s="52">
        <f>PSK_AT_verzia_4_0!L427-PSK_AT_verzia_3_5!L388</f>
        <v>0</v>
      </c>
      <c r="M427" s="52">
        <f>PSK_AT_verzia_4_0!M427-PSK_AT_verzia_3_5!M388</f>
        <v>0</v>
      </c>
      <c r="N427" s="52">
        <f>PSK_AT_verzia_4_0!N427-PSK_AT_verzia_3_5!N388</f>
        <v>3879500</v>
      </c>
      <c r="O427" s="52">
        <f>PSK_AT_verzia_4_0!O427-PSK_AT_verzia_3_5!O388</f>
        <v>5154500</v>
      </c>
      <c r="P427" s="52">
        <f>PSK_AT_verzia_4_0!P427-PSK_AT_verzia_3_5!P388</f>
        <v>-1275000</v>
      </c>
      <c r="Q427" s="52">
        <f>PSK_AT_verzia_4_0!Q427-PSK_AT_verzia_3_5!Q388</f>
        <v>0</v>
      </c>
    </row>
    <row r="428" spans="1:17" ht="28" customHeight="1" x14ac:dyDescent="0.35">
      <c r="A428" s="241"/>
      <c r="B428" s="242"/>
      <c r="C428" s="60">
        <f>PSK_AT_verzia_4_0!C428-PSK_AT_verzia_3_5!C389</f>
        <v>0</v>
      </c>
      <c r="D428" s="112">
        <f>PSK_AT_verzia_4_0!D428-PSK_AT_verzia_3_5!D389</f>
        <v>0</v>
      </c>
      <c r="E428" s="60">
        <f>PSK_AT_verzia_4_0!E428-PSK_AT_verzia_3_5!E389</f>
        <v>0</v>
      </c>
      <c r="F428" s="61" t="s">
        <v>321</v>
      </c>
      <c r="G428" s="60">
        <f>PSK_AT_verzia_4_0!G428-PSK_AT_verzia_3_5!G389</f>
        <v>3879500</v>
      </c>
      <c r="H428" s="60">
        <f>PSK_AT_verzia_4_0!H428-PSK_AT_verzia_3_5!H389</f>
        <v>5154500</v>
      </c>
      <c r="I428" s="60">
        <f>PSK_AT_verzia_4_0!I428-PSK_AT_verzia_3_5!I389</f>
        <v>-1275000</v>
      </c>
      <c r="J428" s="60">
        <f>PSK_AT_verzia_4_0!J428-PSK_AT_verzia_3_5!J389</f>
        <v>0</v>
      </c>
      <c r="K428" s="60">
        <f>PSK_AT_verzia_4_0!K428-PSK_AT_verzia_3_5!K389</f>
        <v>0</v>
      </c>
      <c r="L428" s="60">
        <f>PSK_AT_verzia_4_0!L428-PSK_AT_verzia_3_5!L389</f>
        <v>0</v>
      </c>
      <c r="M428" s="60">
        <f>PSK_AT_verzia_4_0!M428-PSK_AT_verzia_3_5!M389</f>
        <v>0</v>
      </c>
      <c r="N428" s="60">
        <f>PSK_AT_verzia_4_0!N428-PSK_AT_verzia_3_5!N389</f>
        <v>3879500</v>
      </c>
      <c r="O428" s="60">
        <f>PSK_AT_verzia_4_0!O428-PSK_AT_verzia_3_5!O389</f>
        <v>5154500</v>
      </c>
      <c r="P428" s="60">
        <f>PSK_AT_verzia_4_0!P428-PSK_AT_verzia_3_5!P389</f>
        <v>-1275000</v>
      </c>
      <c r="Q428" s="60">
        <f>PSK_AT_verzia_4_0!Q428-PSK_AT_verzia_3_5!Q389</f>
        <v>0</v>
      </c>
    </row>
    <row r="429" spans="1:17" ht="28" customHeight="1" x14ac:dyDescent="0.35">
      <c r="A429" s="241"/>
      <c r="B429" s="242"/>
      <c r="C429" s="200">
        <f>PSK_AT_verzia_4_0!C429-PSK_AT_verzia_3_5!C390</f>
        <v>0</v>
      </c>
      <c r="D429" s="200">
        <f>PSK_AT_verzia_4_0!D429-PSK_AT_verzia_3_5!D390</f>
        <v>0</v>
      </c>
      <c r="E429" s="200">
        <f>PSK_AT_verzia_4_0!E429-PSK_AT_verzia_3_5!E390</f>
        <v>0</v>
      </c>
      <c r="F429" s="66" t="s">
        <v>322</v>
      </c>
      <c r="G429" s="67">
        <f>PSK_AT_verzia_4_0!G429-PSK_AT_verzia_3_5!G390</f>
        <v>3879500</v>
      </c>
      <c r="H429" s="67">
        <f>PSK_AT_verzia_4_0!H429-PSK_AT_verzia_3_5!H390</f>
        <v>5154500</v>
      </c>
      <c r="I429" s="67">
        <f>PSK_AT_verzia_4_0!I429-PSK_AT_verzia_3_5!I390</f>
        <v>-1275000</v>
      </c>
      <c r="J429" s="67">
        <f>PSK_AT_verzia_4_0!J429-PSK_AT_verzia_3_5!J390</f>
        <v>0</v>
      </c>
      <c r="K429" s="67">
        <f>PSK_AT_verzia_4_0!K429-PSK_AT_verzia_3_5!K390</f>
        <v>0</v>
      </c>
      <c r="L429" s="67">
        <f>PSK_AT_verzia_4_0!L429-PSK_AT_verzia_3_5!L390</f>
        <v>0</v>
      </c>
      <c r="M429" s="67">
        <f>PSK_AT_verzia_4_0!M429-PSK_AT_verzia_3_5!M390</f>
        <v>0</v>
      </c>
      <c r="N429" s="67">
        <f>PSK_AT_verzia_4_0!N429-PSK_AT_verzia_3_5!N390</f>
        <v>3879500</v>
      </c>
      <c r="O429" s="67">
        <f>PSK_AT_verzia_4_0!O429-PSK_AT_verzia_3_5!O390</f>
        <v>5154500</v>
      </c>
      <c r="P429" s="67">
        <f>PSK_AT_verzia_4_0!P429-PSK_AT_verzia_3_5!P390</f>
        <v>-1275000</v>
      </c>
      <c r="Q429" s="67">
        <f>PSK_AT_verzia_4_0!Q429-PSK_AT_verzia_3_5!Q390</f>
        <v>0</v>
      </c>
    </row>
    <row r="430" spans="1:17" ht="28" customHeight="1" x14ac:dyDescent="0.35">
      <c r="A430" s="241"/>
      <c r="B430" s="242"/>
      <c r="C430" s="200">
        <f>PSK_AT_verzia_4_0!C430-PSK_AT_verzia_3_5!C391</f>
        <v>0</v>
      </c>
      <c r="D430" s="200">
        <f>PSK_AT_verzia_4_0!D430-PSK_AT_verzia_3_5!D391</f>
        <v>0</v>
      </c>
      <c r="E430" s="200">
        <f>PSK_AT_verzia_4_0!E430-PSK_AT_verzia_3_5!E391</f>
        <v>0</v>
      </c>
      <c r="F430" s="66" t="s">
        <v>323</v>
      </c>
      <c r="G430" s="103">
        <f>PSK_AT_verzia_4_0!G430-PSK_AT_verzia_3_5!G391</f>
        <v>0</v>
      </c>
      <c r="H430" s="103">
        <f>PSK_AT_verzia_4_0!H430-PSK_AT_verzia_3_5!H391</f>
        <v>0</v>
      </c>
      <c r="I430" s="103">
        <f>PSK_AT_verzia_4_0!I430-PSK_AT_verzia_3_5!I391</f>
        <v>0</v>
      </c>
      <c r="J430" s="103">
        <f>PSK_AT_verzia_4_0!J430-PSK_AT_verzia_3_5!J391</f>
        <v>0</v>
      </c>
      <c r="K430" s="103">
        <f>PSK_AT_verzia_4_0!K430-PSK_AT_verzia_3_5!K391</f>
        <v>0</v>
      </c>
      <c r="L430" s="103">
        <f>PSK_AT_verzia_4_0!L430-PSK_AT_verzia_3_5!L391</f>
        <v>0</v>
      </c>
      <c r="M430" s="103">
        <f>PSK_AT_verzia_4_0!M430-PSK_AT_verzia_3_5!M391</f>
        <v>0</v>
      </c>
      <c r="N430" s="103">
        <f>PSK_AT_verzia_4_0!N430-PSK_AT_verzia_3_5!N391</f>
        <v>0</v>
      </c>
      <c r="O430" s="103">
        <f>PSK_AT_verzia_4_0!O430-PSK_AT_verzia_3_5!O391</f>
        <v>0</v>
      </c>
      <c r="P430" s="103">
        <f>PSK_AT_verzia_4_0!P430-PSK_AT_verzia_3_5!P391</f>
        <v>0</v>
      </c>
      <c r="Q430" s="103">
        <f>PSK_AT_verzia_4_0!Q430-PSK_AT_verzia_3_5!Q391</f>
        <v>0</v>
      </c>
    </row>
    <row r="431" spans="1:17" ht="30" customHeight="1" x14ac:dyDescent="0.35">
      <c r="A431" s="45" t="s">
        <v>361</v>
      </c>
      <c r="B431" s="46" t="s">
        <v>362</v>
      </c>
      <c r="C431" s="47">
        <f>PSK_AT_verzia_4_0!C431-PSK_AT_verzia_3_5!C392</f>
        <v>-6822304</v>
      </c>
      <c r="D431" s="47">
        <f>PSK_AT_verzia_4_0!D431-PSK_AT_verzia_3_5!D392</f>
        <v>-5000000</v>
      </c>
      <c r="E431" s="47">
        <f>PSK_AT_verzia_4_0!E431-PSK_AT_verzia_3_5!E392</f>
        <v>0</v>
      </c>
      <c r="F431" s="49"/>
      <c r="G431" s="48">
        <f>PSK_AT_verzia_4_0!G431-PSK_AT_verzia_3_5!G392</f>
        <v>-163002835</v>
      </c>
      <c r="H431" s="48">
        <f>PSK_AT_verzia_4_0!H431-PSK_AT_verzia_3_5!H392</f>
        <v>-168046681</v>
      </c>
      <c r="I431" s="48">
        <f>PSK_AT_verzia_4_0!I431-PSK_AT_verzia_3_5!I392</f>
        <v>5043846</v>
      </c>
      <c r="J431" s="48">
        <f>PSK_AT_verzia_4_0!J431-PSK_AT_verzia_3_5!J392</f>
        <v>-182741825</v>
      </c>
      <c r="K431" s="48">
        <f>PSK_AT_verzia_4_0!K431-PSK_AT_verzia_3_5!K392</f>
        <v>-184520796</v>
      </c>
      <c r="L431" s="48">
        <f>PSK_AT_verzia_4_0!L431-PSK_AT_verzia_3_5!L392</f>
        <v>1778971</v>
      </c>
      <c r="M431" s="48">
        <f>PSK_AT_verzia_4_0!M431-PSK_AT_verzia_3_5!M392</f>
        <v>0</v>
      </c>
      <c r="N431" s="48">
        <f>PSK_AT_verzia_4_0!N431-PSK_AT_verzia_3_5!N392</f>
        <v>19738990</v>
      </c>
      <c r="O431" s="48">
        <f>PSK_AT_verzia_4_0!O431-PSK_AT_verzia_3_5!O392</f>
        <v>16474115</v>
      </c>
      <c r="P431" s="48">
        <f>PSK_AT_verzia_4_0!P431-PSK_AT_verzia_3_5!P392</f>
        <v>3264875</v>
      </c>
      <c r="Q431" s="48">
        <f>PSK_AT_verzia_4_0!Q431-PSK_AT_verzia_3_5!Q392</f>
        <v>0</v>
      </c>
    </row>
    <row r="432" spans="1:17" ht="47" x14ac:dyDescent="0.35">
      <c r="A432" s="241" t="s">
        <v>363</v>
      </c>
      <c r="B432" s="242" t="s">
        <v>364</v>
      </c>
      <c r="C432" s="52">
        <f>PSK_AT_verzia_4_0!C432-PSK_AT_verzia_3_5!C393</f>
        <v>0</v>
      </c>
      <c r="D432" s="52">
        <f>PSK_AT_verzia_4_0!D432-PSK_AT_verzia_3_5!D393</f>
        <v>0</v>
      </c>
      <c r="E432" s="52">
        <f>PSK_AT_verzia_4_0!E432-PSK_AT_verzia_3_5!E393</f>
        <v>0</v>
      </c>
      <c r="F432" s="54" t="s">
        <v>365</v>
      </c>
      <c r="G432" s="52">
        <f>PSK_AT_verzia_4_0!G432-PSK_AT_verzia_3_5!G393</f>
        <v>-8290883</v>
      </c>
      <c r="H432" s="52">
        <f>PSK_AT_verzia_4_0!H432-PSK_AT_verzia_3_5!H393</f>
        <v>-8121483</v>
      </c>
      <c r="I432" s="52">
        <f>PSK_AT_verzia_4_0!I432-PSK_AT_verzia_3_5!I393</f>
        <v>-169400</v>
      </c>
      <c r="J432" s="52">
        <f>PSK_AT_verzia_4_0!J432-PSK_AT_verzia_3_5!J393</f>
        <v>0</v>
      </c>
      <c r="K432" s="52">
        <f>PSK_AT_verzia_4_0!K432-PSK_AT_verzia_3_5!K393</f>
        <v>0</v>
      </c>
      <c r="L432" s="52">
        <f>PSK_AT_verzia_4_0!L432-PSK_AT_verzia_3_5!L393</f>
        <v>0</v>
      </c>
      <c r="M432" s="52">
        <f>PSK_AT_verzia_4_0!M432-PSK_AT_verzia_3_5!M393</f>
        <v>0</v>
      </c>
      <c r="N432" s="52">
        <f>PSK_AT_verzia_4_0!N432-PSK_AT_verzia_3_5!N393</f>
        <v>-8290883</v>
      </c>
      <c r="O432" s="52">
        <f>PSK_AT_verzia_4_0!O432-PSK_AT_verzia_3_5!O393</f>
        <v>-8121483</v>
      </c>
      <c r="P432" s="52">
        <f>PSK_AT_verzia_4_0!P432-PSK_AT_verzia_3_5!P393</f>
        <v>-169400</v>
      </c>
      <c r="Q432" s="52">
        <f>PSK_AT_verzia_4_0!Q432-PSK_AT_verzia_3_5!Q393</f>
        <v>0</v>
      </c>
    </row>
    <row r="433" spans="1:17" ht="28" customHeight="1" x14ac:dyDescent="0.35">
      <c r="A433" s="241"/>
      <c r="B433" s="242"/>
      <c r="C433" s="60">
        <f>PSK_AT_verzia_4_0!C433-PSK_AT_verzia_3_5!C394</f>
        <v>0</v>
      </c>
      <c r="D433" s="112">
        <f>PSK_AT_verzia_4_0!D433-PSK_AT_verzia_3_5!D394</f>
        <v>0</v>
      </c>
      <c r="E433" s="60">
        <f>PSK_AT_verzia_4_0!E433-PSK_AT_verzia_3_5!E394</f>
        <v>0</v>
      </c>
      <c r="F433" s="61" t="s">
        <v>321</v>
      </c>
      <c r="G433" s="60">
        <f>PSK_AT_verzia_4_0!G433-PSK_AT_verzia_3_5!G394</f>
        <v>-8290883</v>
      </c>
      <c r="H433" s="60">
        <f>PSK_AT_verzia_4_0!H433-PSK_AT_verzia_3_5!H394</f>
        <v>-8121483</v>
      </c>
      <c r="I433" s="60">
        <f>PSK_AT_verzia_4_0!I433-PSK_AT_verzia_3_5!I394</f>
        <v>-169400</v>
      </c>
      <c r="J433" s="60">
        <f>PSK_AT_verzia_4_0!J433-PSK_AT_verzia_3_5!J394</f>
        <v>0</v>
      </c>
      <c r="K433" s="60">
        <f>PSK_AT_verzia_4_0!K433-PSK_AT_verzia_3_5!K394</f>
        <v>0</v>
      </c>
      <c r="L433" s="60">
        <f>PSK_AT_verzia_4_0!L433-PSK_AT_verzia_3_5!L394</f>
        <v>0</v>
      </c>
      <c r="M433" s="60">
        <f>PSK_AT_verzia_4_0!M433-PSK_AT_verzia_3_5!M394</f>
        <v>0</v>
      </c>
      <c r="N433" s="60">
        <f>PSK_AT_verzia_4_0!N433-PSK_AT_verzia_3_5!N394</f>
        <v>-8290883</v>
      </c>
      <c r="O433" s="60">
        <f>PSK_AT_verzia_4_0!O433-PSK_AT_verzia_3_5!O394</f>
        <v>-8121483</v>
      </c>
      <c r="P433" s="60">
        <f>PSK_AT_verzia_4_0!P433-PSK_AT_verzia_3_5!P394</f>
        <v>-169400</v>
      </c>
      <c r="Q433" s="60">
        <f>PSK_AT_verzia_4_0!Q433-PSK_AT_verzia_3_5!Q394</f>
        <v>0</v>
      </c>
    </row>
    <row r="434" spans="1:17" ht="28" customHeight="1" x14ac:dyDescent="0.35">
      <c r="A434" s="241"/>
      <c r="B434" s="242"/>
      <c r="C434" s="200">
        <f>PSK_AT_verzia_4_0!C434-PSK_AT_verzia_3_5!C395</f>
        <v>0</v>
      </c>
      <c r="D434" s="200">
        <f>PSK_AT_verzia_4_0!D434-PSK_AT_verzia_3_5!D395</f>
        <v>0</v>
      </c>
      <c r="E434" s="200">
        <f>PSK_AT_verzia_4_0!E434-PSK_AT_verzia_3_5!E395</f>
        <v>0</v>
      </c>
      <c r="F434" s="66" t="s">
        <v>322</v>
      </c>
      <c r="G434" s="67">
        <f>PSK_AT_verzia_4_0!G434-PSK_AT_verzia_3_5!G395</f>
        <v>-8290883</v>
      </c>
      <c r="H434" s="67">
        <f>PSK_AT_verzia_4_0!H434-PSK_AT_verzia_3_5!H395</f>
        <v>-8121483</v>
      </c>
      <c r="I434" s="67">
        <f>PSK_AT_verzia_4_0!I434-PSK_AT_verzia_3_5!I395</f>
        <v>-169400</v>
      </c>
      <c r="J434" s="67">
        <f>PSK_AT_verzia_4_0!J434-PSK_AT_verzia_3_5!J395</f>
        <v>0</v>
      </c>
      <c r="K434" s="67">
        <f>PSK_AT_verzia_4_0!K434-PSK_AT_verzia_3_5!K395</f>
        <v>0</v>
      </c>
      <c r="L434" s="67">
        <f>PSK_AT_verzia_4_0!L434-PSK_AT_verzia_3_5!L395</f>
        <v>0</v>
      </c>
      <c r="M434" s="67">
        <f>PSK_AT_verzia_4_0!M434-PSK_AT_verzia_3_5!M395</f>
        <v>0</v>
      </c>
      <c r="N434" s="67">
        <f>PSK_AT_verzia_4_0!N434-PSK_AT_verzia_3_5!N395</f>
        <v>-8290883</v>
      </c>
      <c r="O434" s="67">
        <f>PSK_AT_verzia_4_0!O434-PSK_AT_verzia_3_5!O395</f>
        <v>-8121483</v>
      </c>
      <c r="P434" s="67">
        <f>PSK_AT_verzia_4_0!P434-PSK_AT_verzia_3_5!P395</f>
        <v>-169400</v>
      </c>
      <c r="Q434" s="67">
        <f>PSK_AT_verzia_4_0!Q434-PSK_AT_verzia_3_5!Q395</f>
        <v>0</v>
      </c>
    </row>
    <row r="435" spans="1:17" ht="28" customHeight="1" x14ac:dyDescent="0.35">
      <c r="A435" s="241"/>
      <c r="B435" s="242"/>
      <c r="C435" s="200">
        <f>PSK_AT_verzia_4_0!C435-PSK_AT_verzia_3_5!C396</f>
        <v>0</v>
      </c>
      <c r="D435" s="200">
        <f>PSK_AT_verzia_4_0!D435-PSK_AT_verzia_3_5!D396</f>
        <v>0</v>
      </c>
      <c r="E435" s="200">
        <f>PSK_AT_verzia_4_0!E435-PSK_AT_verzia_3_5!E396</f>
        <v>0</v>
      </c>
      <c r="F435" s="66" t="s">
        <v>323</v>
      </c>
      <c r="G435" s="103">
        <f>PSK_AT_verzia_4_0!G435-PSK_AT_verzia_3_5!G396</f>
        <v>0</v>
      </c>
      <c r="H435" s="103">
        <f>PSK_AT_verzia_4_0!H435-PSK_AT_verzia_3_5!H396</f>
        <v>0</v>
      </c>
      <c r="I435" s="103">
        <f>PSK_AT_verzia_4_0!I435-PSK_AT_verzia_3_5!I396</f>
        <v>0</v>
      </c>
      <c r="J435" s="103">
        <f>PSK_AT_verzia_4_0!J435-PSK_AT_verzia_3_5!J396</f>
        <v>0</v>
      </c>
      <c r="K435" s="103">
        <f>PSK_AT_verzia_4_0!K435-PSK_AT_verzia_3_5!K396</f>
        <v>0</v>
      </c>
      <c r="L435" s="103">
        <f>PSK_AT_verzia_4_0!L435-PSK_AT_verzia_3_5!L396</f>
        <v>0</v>
      </c>
      <c r="M435" s="103">
        <f>PSK_AT_verzia_4_0!M435-PSK_AT_verzia_3_5!M396</f>
        <v>0</v>
      </c>
      <c r="N435" s="103">
        <f>PSK_AT_verzia_4_0!N435-PSK_AT_verzia_3_5!N396</f>
        <v>0</v>
      </c>
      <c r="O435" s="103">
        <f>PSK_AT_verzia_4_0!O435-PSK_AT_verzia_3_5!O396</f>
        <v>0</v>
      </c>
      <c r="P435" s="103">
        <f>PSK_AT_verzia_4_0!P435-PSK_AT_verzia_3_5!P396</f>
        <v>0</v>
      </c>
      <c r="Q435" s="103">
        <f>PSK_AT_verzia_4_0!Q435-PSK_AT_verzia_3_5!Q396</f>
        <v>0</v>
      </c>
    </row>
    <row r="436" spans="1:17" ht="47" x14ac:dyDescent="0.35">
      <c r="A436" s="241" t="s">
        <v>366</v>
      </c>
      <c r="B436" s="242" t="s">
        <v>367</v>
      </c>
      <c r="C436" s="52">
        <f>PSK_AT_verzia_4_0!C436-PSK_AT_verzia_3_5!C397</f>
        <v>0</v>
      </c>
      <c r="D436" s="52">
        <f>PSK_AT_verzia_4_0!D436-PSK_AT_verzia_3_5!D397</f>
        <v>0</v>
      </c>
      <c r="E436" s="52">
        <f>PSK_AT_verzia_4_0!E436-PSK_AT_verzia_3_5!E397</f>
        <v>0</v>
      </c>
      <c r="F436" s="54" t="s">
        <v>368</v>
      </c>
      <c r="G436" s="52">
        <f>PSK_AT_verzia_4_0!G436-PSK_AT_verzia_3_5!G397</f>
        <v>0</v>
      </c>
      <c r="H436" s="52">
        <f>PSK_AT_verzia_4_0!H436-PSK_AT_verzia_3_5!H397</f>
        <v>0</v>
      </c>
      <c r="I436" s="52">
        <f>PSK_AT_verzia_4_0!I436-PSK_AT_verzia_3_5!I397</f>
        <v>0</v>
      </c>
      <c r="J436" s="52">
        <f>PSK_AT_verzia_4_0!J436-PSK_AT_verzia_3_5!J397</f>
        <v>0</v>
      </c>
      <c r="K436" s="52">
        <f>PSK_AT_verzia_4_0!K436-PSK_AT_verzia_3_5!K397</f>
        <v>0</v>
      </c>
      <c r="L436" s="52">
        <f>PSK_AT_verzia_4_0!L436-PSK_AT_verzia_3_5!L397</f>
        <v>0</v>
      </c>
      <c r="M436" s="52">
        <f>PSK_AT_verzia_4_0!M436-PSK_AT_verzia_3_5!M397</f>
        <v>0</v>
      </c>
      <c r="N436" s="52">
        <f>PSK_AT_verzia_4_0!N436-PSK_AT_verzia_3_5!N397</f>
        <v>0</v>
      </c>
      <c r="O436" s="52">
        <f>PSK_AT_verzia_4_0!O436-PSK_AT_verzia_3_5!O397</f>
        <v>0</v>
      </c>
      <c r="P436" s="52">
        <f>PSK_AT_verzia_4_0!P436-PSK_AT_verzia_3_5!P397</f>
        <v>0</v>
      </c>
      <c r="Q436" s="52">
        <f>PSK_AT_verzia_4_0!Q436-PSK_AT_verzia_3_5!Q397</f>
        <v>0</v>
      </c>
    </row>
    <row r="437" spans="1:17" ht="28" customHeight="1" x14ac:dyDescent="0.35">
      <c r="A437" s="241"/>
      <c r="B437" s="242"/>
      <c r="C437" s="60">
        <f>PSK_AT_verzia_4_0!C437-PSK_AT_verzia_3_5!C398</f>
        <v>0</v>
      </c>
      <c r="D437" s="60">
        <f>PSK_AT_verzia_4_0!D437-PSK_AT_verzia_3_5!D398</f>
        <v>0</v>
      </c>
      <c r="E437" s="60">
        <f>PSK_AT_verzia_4_0!E437-PSK_AT_verzia_3_5!E398</f>
        <v>0</v>
      </c>
      <c r="F437" s="61" t="s">
        <v>321</v>
      </c>
      <c r="G437" s="60">
        <f>PSK_AT_verzia_4_0!G437-PSK_AT_verzia_3_5!G398</f>
        <v>0</v>
      </c>
      <c r="H437" s="60">
        <f>PSK_AT_verzia_4_0!H437-PSK_AT_verzia_3_5!H398</f>
        <v>0</v>
      </c>
      <c r="I437" s="60">
        <f>PSK_AT_verzia_4_0!I437-PSK_AT_verzia_3_5!I398</f>
        <v>0</v>
      </c>
      <c r="J437" s="60">
        <f>PSK_AT_verzia_4_0!J437-PSK_AT_verzia_3_5!J398</f>
        <v>0</v>
      </c>
      <c r="K437" s="60">
        <f>PSK_AT_verzia_4_0!K437-PSK_AT_verzia_3_5!K398</f>
        <v>0</v>
      </c>
      <c r="L437" s="60">
        <f>PSK_AT_verzia_4_0!L437-PSK_AT_verzia_3_5!L398</f>
        <v>0</v>
      </c>
      <c r="M437" s="60">
        <f>PSK_AT_verzia_4_0!M437-PSK_AT_verzia_3_5!M398</f>
        <v>0</v>
      </c>
      <c r="N437" s="60">
        <f>PSK_AT_verzia_4_0!N437-PSK_AT_verzia_3_5!N398</f>
        <v>0</v>
      </c>
      <c r="O437" s="60">
        <f>PSK_AT_verzia_4_0!O437-PSK_AT_verzia_3_5!O398</f>
        <v>0</v>
      </c>
      <c r="P437" s="60">
        <f>PSK_AT_verzia_4_0!P437-PSK_AT_verzia_3_5!P398</f>
        <v>0</v>
      </c>
      <c r="Q437" s="60">
        <f>PSK_AT_verzia_4_0!Q437-PSK_AT_verzia_3_5!Q398</f>
        <v>0</v>
      </c>
    </row>
    <row r="438" spans="1:17" ht="28" customHeight="1" x14ac:dyDescent="0.35">
      <c r="A438" s="241"/>
      <c r="B438" s="242"/>
      <c r="C438" s="200">
        <f>PSK_AT_verzia_4_0!C438-PSK_AT_verzia_3_5!C399</f>
        <v>0</v>
      </c>
      <c r="D438" s="200">
        <f>PSK_AT_verzia_4_0!D438-PSK_AT_verzia_3_5!D399</f>
        <v>0</v>
      </c>
      <c r="E438" s="200">
        <f>PSK_AT_verzia_4_0!E438-PSK_AT_verzia_3_5!E399</f>
        <v>0</v>
      </c>
      <c r="F438" s="66" t="s">
        <v>322</v>
      </c>
      <c r="G438" s="68">
        <f>PSK_AT_verzia_4_0!G438-PSK_AT_verzia_3_5!G399</f>
        <v>0</v>
      </c>
      <c r="H438" s="68">
        <f>PSK_AT_verzia_4_0!H438-PSK_AT_verzia_3_5!H399</f>
        <v>0</v>
      </c>
      <c r="I438" s="68">
        <f>PSK_AT_verzia_4_0!I438-PSK_AT_verzia_3_5!I399</f>
        <v>0</v>
      </c>
      <c r="J438" s="68">
        <f>PSK_AT_verzia_4_0!J438-PSK_AT_verzia_3_5!J399</f>
        <v>0</v>
      </c>
      <c r="K438" s="68">
        <f>PSK_AT_verzia_4_0!K438-PSK_AT_verzia_3_5!K399</f>
        <v>0</v>
      </c>
      <c r="L438" s="68">
        <f>PSK_AT_verzia_4_0!L438-PSK_AT_verzia_3_5!L399</f>
        <v>0</v>
      </c>
      <c r="M438" s="68">
        <f>PSK_AT_verzia_4_0!M438-PSK_AT_verzia_3_5!M399</f>
        <v>0</v>
      </c>
      <c r="N438" s="68">
        <f>PSK_AT_verzia_4_0!N438-PSK_AT_verzia_3_5!N399</f>
        <v>0</v>
      </c>
      <c r="O438" s="68">
        <f>PSK_AT_verzia_4_0!O438-PSK_AT_verzia_3_5!O399</f>
        <v>0</v>
      </c>
      <c r="P438" s="68">
        <f>PSK_AT_verzia_4_0!P438-PSK_AT_verzia_3_5!P399</f>
        <v>0</v>
      </c>
      <c r="Q438" s="68">
        <f>PSK_AT_verzia_4_0!Q438-PSK_AT_verzia_3_5!Q399</f>
        <v>0</v>
      </c>
    </row>
    <row r="439" spans="1:17" ht="142.5" customHeight="1" x14ac:dyDescent="0.35">
      <c r="A439" s="241" t="s">
        <v>369</v>
      </c>
      <c r="B439" s="242" t="s">
        <v>370</v>
      </c>
      <c r="C439" s="52">
        <f>PSK_AT_verzia_4_0!C439-PSK_AT_verzia_3_5!C400</f>
        <v>0</v>
      </c>
      <c r="D439" s="52">
        <f>PSK_AT_verzia_4_0!D439-PSK_AT_verzia_3_5!D400</f>
        <v>0</v>
      </c>
      <c r="E439" s="52">
        <f>PSK_AT_verzia_4_0!E439-PSK_AT_verzia_3_5!E400</f>
        <v>0</v>
      </c>
      <c r="F439" s="54" t="s">
        <v>371</v>
      </c>
      <c r="G439" s="52">
        <f>PSK_AT_verzia_4_0!G439-PSK_AT_verzia_3_5!G400</f>
        <v>51696395</v>
      </c>
      <c r="H439" s="52">
        <f>PSK_AT_verzia_4_0!H439-PSK_AT_verzia_3_5!H400</f>
        <v>50630401</v>
      </c>
      <c r="I439" s="52">
        <f>PSK_AT_verzia_4_0!I439-PSK_AT_verzia_3_5!I400</f>
        <v>1065994</v>
      </c>
      <c r="J439" s="52">
        <f>PSK_AT_verzia_4_0!J439-PSK_AT_verzia_3_5!J400</f>
        <v>0</v>
      </c>
      <c r="K439" s="52">
        <f>PSK_AT_verzia_4_0!K439-PSK_AT_verzia_3_5!K400</f>
        <v>0</v>
      </c>
      <c r="L439" s="52">
        <f>PSK_AT_verzia_4_0!L439-PSK_AT_verzia_3_5!L400</f>
        <v>0</v>
      </c>
      <c r="M439" s="52">
        <f>PSK_AT_verzia_4_0!M439-PSK_AT_verzia_3_5!M400</f>
        <v>0</v>
      </c>
      <c r="N439" s="52">
        <f>PSK_AT_verzia_4_0!N439-PSK_AT_verzia_3_5!N400</f>
        <v>51696395</v>
      </c>
      <c r="O439" s="52">
        <f>PSK_AT_verzia_4_0!O439-PSK_AT_verzia_3_5!O400</f>
        <v>50630401</v>
      </c>
      <c r="P439" s="52">
        <f>PSK_AT_verzia_4_0!P439-PSK_AT_verzia_3_5!P400</f>
        <v>1065994</v>
      </c>
      <c r="Q439" s="52">
        <f>PSK_AT_verzia_4_0!Q439-PSK_AT_verzia_3_5!Q400</f>
        <v>0</v>
      </c>
    </row>
    <row r="440" spans="1:17" s="62" customFormat="1" ht="28" customHeight="1" x14ac:dyDescent="0.35">
      <c r="A440" s="241"/>
      <c r="B440" s="242"/>
      <c r="C440" s="60">
        <f>PSK_AT_verzia_4_0!C440-PSK_AT_verzia_3_5!C401</f>
        <v>0</v>
      </c>
      <c r="D440" s="60">
        <f>PSK_AT_verzia_4_0!D440-PSK_AT_verzia_3_5!D401</f>
        <v>0</v>
      </c>
      <c r="E440" s="60">
        <f>PSK_AT_verzia_4_0!E440-PSK_AT_verzia_3_5!E401</f>
        <v>0</v>
      </c>
      <c r="F440" s="61" t="s">
        <v>321</v>
      </c>
      <c r="G440" s="60">
        <f>PSK_AT_verzia_4_0!G440-PSK_AT_verzia_3_5!G401</f>
        <v>52646395</v>
      </c>
      <c r="H440" s="60">
        <f>PSK_AT_verzia_4_0!H440-PSK_AT_verzia_3_5!H401</f>
        <v>50630401</v>
      </c>
      <c r="I440" s="60">
        <f>PSK_AT_verzia_4_0!I440-PSK_AT_verzia_3_5!I401</f>
        <v>2015994</v>
      </c>
      <c r="J440" s="60">
        <f>PSK_AT_verzia_4_0!J440-PSK_AT_verzia_3_5!J401</f>
        <v>0</v>
      </c>
      <c r="K440" s="60">
        <f>PSK_AT_verzia_4_0!K440-PSK_AT_verzia_3_5!K401</f>
        <v>0</v>
      </c>
      <c r="L440" s="60">
        <f>PSK_AT_verzia_4_0!L440-PSK_AT_verzia_3_5!L401</f>
        <v>0</v>
      </c>
      <c r="M440" s="60">
        <f>PSK_AT_verzia_4_0!M440-PSK_AT_verzia_3_5!M401</f>
        <v>0</v>
      </c>
      <c r="N440" s="60">
        <f>PSK_AT_verzia_4_0!N440-PSK_AT_verzia_3_5!N401</f>
        <v>52646395</v>
      </c>
      <c r="O440" s="60">
        <f>PSK_AT_verzia_4_0!O440-PSK_AT_verzia_3_5!O401</f>
        <v>50630401</v>
      </c>
      <c r="P440" s="60">
        <f>PSK_AT_verzia_4_0!P440-PSK_AT_verzia_3_5!P401</f>
        <v>2015994</v>
      </c>
      <c r="Q440" s="60">
        <f>PSK_AT_verzia_4_0!Q440-PSK_AT_verzia_3_5!Q401</f>
        <v>0</v>
      </c>
    </row>
    <row r="441" spans="1:17" s="62" customFormat="1" ht="28" customHeight="1" x14ac:dyDescent="0.35">
      <c r="A441" s="241"/>
      <c r="B441" s="242"/>
      <c r="C441" s="200">
        <f>PSK_AT_verzia_4_0!C441-PSK_AT_verzia_3_5!C402</f>
        <v>0</v>
      </c>
      <c r="D441" s="200">
        <f>PSK_AT_verzia_4_0!D441-PSK_AT_verzia_3_5!D402</f>
        <v>0</v>
      </c>
      <c r="E441" s="200">
        <f>PSK_AT_verzia_4_0!E441-PSK_AT_verzia_3_5!E402</f>
        <v>0</v>
      </c>
      <c r="F441" s="66" t="s">
        <v>322</v>
      </c>
      <c r="G441" s="67">
        <f>PSK_AT_verzia_4_0!G441-PSK_AT_verzia_3_5!G402</f>
        <v>52646395</v>
      </c>
      <c r="H441" s="67">
        <f>PSK_AT_verzia_4_0!H441-PSK_AT_verzia_3_5!H402</f>
        <v>50630401</v>
      </c>
      <c r="I441" s="67">
        <f>PSK_AT_verzia_4_0!I441-PSK_AT_verzia_3_5!I402</f>
        <v>2015994</v>
      </c>
      <c r="J441" s="67">
        <f>PSK_AT_verzia_4_0!J441-PSK_AT_verzia_3_5!J402</f>
        <v>0</v>
      </c>
      <c r="K441" s="67">
        <f>PSK_AT_verzia_4_0!K441-PSK_AT_verzia_3_5!K402</f>
        <v>0</v>
      </c>
      <c r="L441" s="67">
        <f>PSK_AT_verzia_4_0!L441-PSK_AT_verzia_3_5!L402</f>
        <v>0</v>
      </c>
      <c r="M441" s="67">
        <f>PSK_AT_verzia_4_0!M441-PSK_AT_verzia_3_5!M402</f>
        <v>0</v>
      </c>
      <c r="N441" s="67">
        <f>PSK_AT_verzia_4_0!N441-PSK_AT_verzia_3_5!N402</f>
        <v>52646395</v>
      </c>
      <c r="O441" s="67">
        <f>PSK_AT_verzia_4_0!O441-PSK_AT_verzia_3_5!O402</f>
        <v>50630401</v>
      </c>
      <c r="P441" s="67">
        <f>PSK_AT_verzia_4_0!P441-PSK_AT_verzia_3_5!P402</f>
        <v>2015994</v>
      </c>
      <c r="Q441" s="67">
        <f>PSK_AT_verzia_4_0!Q441-PSK_AT_verzia_3_5!Q402</f>
        <v>0</v>
      </c>
    </row>
    <row r="442" spans="1:17" s="62" customFormat="1" ht="28" customHeight="1" x14ac:dyDescent="0.35">
      <c r="A442" s="241"/>
      <c r="B442" s="242"/>
      <c r="C442" s="60">
        <f>PSK_AT_verzia_4_0!C442-PSK_AT_verzia_3_5!C403</f>
        <v>0</v>
      </c>
      <c r="D442" s="112">
        <f>PSK_AT_verzia_4_0!D442-PSK_AT_verzia_3_5!D403</f>
        <v>0</v>
      </c>
      <c r="E442" s="60">
        <f>PSK_AT_verzia_4_0!E442-PSK_AT_verzia_3_5!E403</f>
        <v>0</v>
      </c>
      <c r="F442" s="61" t="s">
        <v>49</v>
      </c>
      <c r="G442" s="60">
        <f>PSK_AT_verzia_4_0!G442-PSK_AT_verzia_3_5!G403</f>
        <v>-950000</v>
      </c>
      <c r="H442" s="60">
        <f>PSK_AT_verzia_4_0!H442-PSK_AT_verzia_3_5!H403</f>
        <v>0</v>
      </c>
      <c r="I442" s="60">
        <f>PSK_AT_verzia_4_0!I442-PSK_AT_verzia_3_5!I403</f>
        <v>-950000</v>
      </c>
      <c r="J442" s="60">
        <f>PSK_AT_verzia_4_0!J442-PSK_AT_verzia_3_5!J403</f>
        <v>0</v>
      </c>
      <c r="K442" s="60">
        <f>PSK_AT_verzia_4_0!K442-PSK_AT_verzia_3_5!K403</f>
        <v>0</v>
      </c>
      <c r="L442" s="60">
        <f>PSK_AT_verzia_4_0!L442-PSK_AT_verzia_3_5!L403</f>
        <v>0</v>
      </c>
      <c r="M442" s="60">
        <f>PSK_AT_verzia_4_0!M442-PSK_AT_verzia_3_5!M403</f>
        <v>0</v>
      </c>
      <c r="N442" s="60">
        <f>PSK_AT_verzia_4_0!N442-PSK_AT_verzia_3_5!N403</f>
        <v>-950000</v>
      </c>
      <c r="O442" s="60">
        <f>PSK_AT_verzia_4_0!O442-PSK_AT_verzia_3_5!O403</f>
        <v>0</v>
      </c>
      <c r="P442" s="60">
        <f>PSK_AT_verzia_4_0!P442-PSK_AT_verzia_3_5!P403</f>
        <v>-950000</v>
      </c>
      <c r="Q442" s="60">
        <f>PSK_AT_verzia_4_0!Q442-PSK_AT_verzia_3_5!Q403</f>
        <v>0</v>
      </c>
    </row>
    <row r="443" spans="1:17" s="62" customFormat="1" ht="28" customHeight="1" x14ac:dyDescent="0.35">
      <c r="A443" s="241"/>
      <c r="B443" s="242"/>
      <c r="C443" s="200">
        <f>PSK_AT_verzia_4_0!C443-PSK_AT_verzia_3_5!C404</f>
        <v>0</v>
      </c>
      <c r="D443" s="200">
        <f>PSK_AT_verzia_4_0!D443-PSK_AT_verzia_3_5!D404</f>
        <v>0</v>
      </c>
      <c r="E443" s="200">
        <f>PSK_AT_verzia_4_0!E443-PSK_AT_verzia_3_5!E404</f>
        <v>0</v>
      </c>
      <c r="F443" s="66" t="s">
        <v>50</v>
      </c>
      <c r="G443" s="67">
        <f>PSK_AT_verzia_4_0!G443-PSK_AT_verzia_3_5!G404</f>
        <v>-950000</v>
      </c>
      <c r="H443" s="67">
        <f>PSK_AT_verzia_4_0!H443-PSK_AT_verzia_3_5!H404</f>
        <v>0</v>
      </c>
      <c r="I443" s="67">
        <f>PSK_AT_verzia_4_0!I443-PSK_AT_verzia_3_5!I404</f>
        <v>-950000</v>
      </c>
      <c r="J443" s="67">
        <f>PSK_AT_verzia_4_0!J443-PSK_AT_verzia_3_5!J404</f>
        <v>0</v>
      </c>
      <c r="K443" s="67">
        <f>PSK_AT_verzia_4_0!K443-PSK_AT_verzia_3_5!K404</f>
        <v>0</v>
      </c>
      <c r="L443" s="67">
        <f>PSK_AT_verzia_4_0!L443-PSK_AT_verzia_3_5!L404</f>
        <v>0</v>
      </c>
      <c r="M443" s="67">
        <f>PSK_AT_verzia_4_0!M443-PSK_AT_verzia_3_5!M404</f>
        <v>0</v>
      </c>
      <c r="N443" s="67">
        <f>PSK_AT_verzia_4_0!N443-PSK_AT_verzia_3_5!N404</f>
        <v>-950000</v>
      </c>
      <c r="O443" s="67">
        <f>PSK_AT_verzia_4_0!O443-PSK_AT_verzia_3_5!O404</f>
        <v>0</v>
      </c>
      <c r="P443" s="67">
        <f>PSK_AT_verzia_4_0!P443-PSK_AT_verzia_3_5!P404</f>
        <v>-950000</v>
      </c>
      <c r="Q443" s="67">
        <f>PSK_AT_verzia_4_0!Q443-PSK_AT_verzia_3_5!Q404</f>
        <v>0</v>
      </c>
    </row>
    <row r="444" spans="1:17" s="62" customFormat="1" ht="28" customHeight="1" x14ac:dyDescent="0.35">
      <c r="A444" s="241"/>
      <c r="B444" s="242"/>
      <c r="C444" s="200">
        <f>PSK_AT_verzia_4_0!C444-PSK_AT_verzia_3_5!C405</f>
        <v>0</v>
      </c>
      <c r="D444" s="200">
        <f>PSK_AT_verzia_4_0!D444-PSK_AT_verzia_3_5!D405</f>
        <v>0</v>
      </c>
      <c r="E444" s="200">
        <f>PSK_AT_verzia_4_0!E444-PSK_AT_verzia_3_5!E405</f>
        <v>0</v>
      </c>
      <c r="F444" s="66" t="s">
        <v>372</v>
      </c>
      <c r="G444" s="103">
        <f>PSK_AT_verzia_4_0!G444-PSK_AT_verzia_3_5!G405</f>
        <v>0</v>
      </c>
      <c r="H444" s="103">
        <f>PSK_AT_verzia_4_0!H444-PSK_AT_verzia_3_5!H405</f>
        <v>0</v>
      </c>
      <c r="I444" s="103">
        <f>PSK_AT_verzia_4_0!I444-PSK_AT_verzia_3_5!I405</f>
        <v>0</v>
      </c>
      <c r="J444" s="103">
        <f>PSK_AT_verzia_4_0!J444-PSK_AT_verzia_3_5!J405</f>
        <v>0</v>
      </c>
      <c r="K444" s="103">
        <f>PSK_AT_verzia_4_0!K444-PSK_AT_verzia_3_5!K405</f>
        <v>0</v>
      </c>
      <c r="L444" s="103">
        <f>PSK_AT_verzia_4_0!L444-PSK_AT_verzia_3_5!L405</f>
        <v>0</v>
      </c>
      <c r="M444" s="103">
        <f>PSK_AT_verzia_4_0!M444-PSK_AT_verzia_3_5!M405</f>
        <v>0</v>
      </c>
      <c r="N444" s="103">
        <f>PSK_AT_verzia_4_0!N444-PSK_AT_verzia_3_5!N405</f>
        <v>0</v>
      </c>
      <c r="O444" s="103">
        <f>PSK_AT_verzia_4_0!O444-PSK_AT_verzia_3_5!O405</f>
        <v>0</v>
      </c>
      <c r="P444" s="103">
        <f>PSK_AT_verzia_4_0!P444-PSK_AT_verzia_3_5!P405</f>
        <v>0</v>
      </c>
      <c r="Q444" s="103">
        <f>PSK_AT_verzia_4_0!Q444-PSK_AT_verzia_3_5!Q405</f>
        <v>0</v>
      </c>
    </row>
    <row r="445" spans="1:17" s="62" customFormat="1" ht="47" x14ac:dyDescent="0.35">
      <c r="A445" s="241" t="s">
        <v>358</v>
      </c>
      <c r="B445" s="242" t="s">
        <v>359</v>
      </c>
      <c r="C445" s="52">
        <f>PSK_AT_verzia_4_0!C445-PSK_AT_verzia_3_5!C406</f>
        <v>0</v>
      </c>
      <c r="D445" s="52">
        <f>PSK_AT_verzia_4_0!D445-PSK_AT_verzia_3_5!D406</f>
        <v>0</v>
      </c>
      <c r="E445" s="52">
        <f>PSK_AT_verzia_4_0!E445-PSK_AT_verzia_3_5!E406</f>
        <v>0</v>
      </c>
      <c r="F445" s="54" t="s">
        <v>360</v>
      </c>
      <c r="G445" s="52">
        <f>PSK_AT_verzia_4_0!G445-PSK_AT_verzia_3_5!G406</f>
        <v>-23666522</v>
      </c>
      <c r="H445" s="52">
        <f>PSK_AT_verzia_4_0!H445-PSK_AT_verzia_3_5!H406</f>
        <v>-26034803</v>
      </c>
      <c r="I445" s="52">
        <f>PSK_AT_verzia_4_0!I445-PSK_AT_verzia_3_5!I406</f>
        <v>2368281</v>
      </c>
      <c r="J445" s="52">
        <f>PSK_AT_verzia_4_0!J445-PSK_AT_verzia_3_5!J406</f>
        <v>0</v>
      </c>
      <c r="K445" s="52">
        <f>PSK_AT_verzia_4_0!K445-PSK_AT_verzia_3_5!K406</f>
        <v>0</v>
      </c>
      <c r="L445" s="52">
        <f>PSK_AT_verzia_4_0!L445-PSK_AT_verzia_3_5!L406</f>
        <v>0</v>
      </c>
      <c r="M445" s="52">
        <f>PSK_AT_verzia_4_0!M445-PSK_AT_verzia_3_5!M406</f>
        <v>0</v>
      </c>
      <c r="N445" s="52">
        <f>PSK_AT_verzia_4_0!N445-PSK_AT_verzia_3_5!N406</f>
        <v>-23666522</v>
      </c>
      <c r="O445" s="52">
        <f>PSK_AT_verzia_4_0!O445-PSK_AT_verzia_3_5!O406</f>
        <v>-26034803</v>
      </c>
      <c r="P445" s="52">
        <f>PSK_AT_verzia_4_0!P445-PSK_AT_verzia_3_5!P406</f>
        <v>2368281</v>
      </c>
      <c r="Q445" s="52">
        <f>PSK_AT_verzia_4_0!Q445-PSK_AT_verzia_3_5!Q406</f>
        <v>0</v>
      </c>
    </row>
    <row r="446" spans="1:17" ht="28" customHeight="1" x14ac:dyDescent="0.35">
      <c r="A446" s="241"/>
      <c r="B446" s="242"/>
      <c r="C446" s="60">
        <f>PSK_AT_verzia_4_0!C446-PSK_AT_verzia_3_5!C407</f>
        <v>0</v>
      </c>
      <c r="D446" s="112">
        <f>PSK_AT_verzia_4_0!D446-PSK_AT_verzia_3_5!D407</f>
        <v>0</v>
      </c>
      <c r="E446" s="60">
        <f>PSK_AT_verzia_4_0!E446-PSK_AT_verzia_3_5!E407</f>
        <v>0</v>
      </c>
      <c r="F446" s="61" t="s">
        <v>321</v>
      </c>
      <c r="G446" s="60">
        <f>PSK_AT_verzia_4_0!G446-PSK_AT_verzia_3_5!G407</f>
        <v>-23666522</v>
      </c>
      <c r="H446" s="60">
        <f>PSK_AT_verzia_4_0!H446-PSK_AT_verzia_3_5!H407</f>
        <v>-26034803</v>
      </c>
      <c r="I446" s="60">
        <f>PSK_AT_verzia_4_0!I446-PSK_AT_verzia_3_5!I407</f>
        <v>2368281</v>
      </c>
      <c r="J446" s="60">
        <f>PSK_AT_verzia_4_0!J446-PSK_AT_verzia_3_5!J407</f>
        <v>0</v>
      </c>
      <c r="K446" s="60">
        <f>PSK_AT_verzia_4_0!K446-PSK_AT_verzia_3_5!K407</f>
        <v>0</v>
      </c>
      <c r="L446" s="60">
        <f>PSK_AT_verzia_4_0!L446-PSK_AT_verzia_3_5!L407</f>
        <v>0</v>
      </c>
      <c r="M446" s="60">
        <f>PSK_AT_verzia_4_0!M446-PSK_AT_verzia_3_5!M407</f>
        <v>0</v>
      </c>
      <c r="N446" s="60">
        <f>PSK_AT_verzia_4_0!N446-PSK_AT_verzia_3_5!N407</f>
        <v>-23666522</v>
      </c>
      <c r="O446" s="60">
        <f>PSK_AT_verzia_4_0!O446-PSK_AT_verzia_3_5!O407</f>
        <v>-26034803</v>
      </c>
      <c r="P446" s="60">
        <f>PSK_AT_verzia_4_0!P446-PSK_AT_verzia_3_5!P407</f>
        <v>2368281</v>
      </c>
      <c r="Q446" s="60">
        <f>PSK_AT_verzia_4_0!Q446-PSK_AT_verzia_3_5!Q407</f>
        <v>0</v>
      </c>
    </row>
    <row r="447" spans="1:17" ht="28" customHeight="1" x14ac:dyDescent="0.35">
      <c r="A447" s="241"/>
      <c r="B447" s="242"/>
      <c r="C447" s="200">
        <f>PSK_AT_verzia_4_0!C447-PSK_AT_verzia_3_5!C408</f>
        <v>0</v>
      </c>
      <c r="D447" s="200">
        <f>PSK_AT_verzia_4_0!D447-PSK_AT_verzia_3_5!D408</f>
        <v>0</v>
      </c>
      <c r="E447" s="200">
        <f>PSK_AT_verzia_4_0!E447-PSK_AT_verzia_3_5!E408</f>
        <v>0</v>
      </c>
      <c r="F447" s="66" t="s">
        <v>322</v>
      </c>
      <c r="G447" s="67">
        <f>PSK_AT_verzia_4_0!G447-PSK_AT_verzia_3_5!G408</f>
        <v>-23666522</v>
      </c>
      <c r="H447" s="67">
        <f>PSK_AT_verzia_4_0!H447-PSK_AT_verzia_3_5!H408</f>
        <v>-26034803</v>
      </c>
      <c r="I447" s="67">
        <f>PSK_AT_verzia_4_0!I447-PSK_AT_verzia_3_5!I408</f>
        <v>2368281</v>
      </c>
      <c r="J447" s="67">
        <f>PSK_AT_verzia_4_0!J447-PSK_AT_verzia_3_5!J408</f>
        <v>0</v>
      </c>
      <c r="K447" s="67">
        <f>PSK_AT_verzia_4_0!K447-PSK_AT_verzia_3_5!K408</f>
        <v>0</v>
      </c>
      <c r="L447" s="67">
        <f>PSK_AT_verzia_4_0!L447-PSK_AT_verzia_3_5!L408</f>
        <v>0</v>
      </c>
      <c r="M447" s="67">
        <f>PSK_AT_verzia_4_0!M447-PSK_AT_verzia_3_5!M408</f>
        <v>0</v>
      </c>
      <c r="N447" s="67">
        <f>PSK_AT_verzia_4_0!N447-PSK_AT_verzia_3_5!N408</f>
        <v>-23666522</v>
      </c>
      <c r="O447" s="67">
        <f>PSK_AT_verzia_4_0!O447-PSK_AT_verzia_3_5!O408</f>
        <v>-26034803</v>
      </c>
      <c r="P447" s="67">
        <f>PSK_AT_verzia_4_0!P447-PSK_AT_verzia_3_5!P408</f>
        <v>2368281</v>
      </c>
      <c r="Q447" s="67">
        <f>PSK_AT_verzia_4_0!Q447-PSK_AT_verzia_3_5!Q408</f>
        <v>0</v>
      </c>
    </row>
    <row r="448" spans="1:17" ht="28" customHeight="1" x14ac:dyDescent="0.35">
      <c r="A448" s="241"/>
      <c r="B448" s="242"/>
      <c r="C448" s="200">
        <f>PSK_AT_verzia_4_0!C448-PSK_AT_verzia_3_5!C409</f>
        <v>0</v>
      </c>
      <c r="D448" s="200">
        <f>PSK_AT_verzia_4_0!D448-PSK_AT_verzia_3_5!D409</f>
        <v>0</v>
      </c>
      <c r="E448" s="200">
        <f>PSK_AT_verzia_4_0!E448-PSK_AT_verzia_3_5!E409</f>
        <v>0</v>
      </c>
      <c r="F448" s="66" t="s">
        <v>323</v>
      </c>
      <c r="G448" s="103">
        <f>PSK_AT_verzia_4_0!G448-PSK_AT_verzia_3_5!G409</f>
        <v>0</v>
      </c>
      <c r="H448" s="103">
        <f>PSK_AT_verzia_4_0!H448-PSK_AT_verzia_3_5!H409</f>
        <v>0</v>
      </c>
      <c r="I448" s="103">
        <f>PSK_AT_verzia_4_0!I448-PSK_AT_verzia_3_5!I409</f>
        <v>0</v>
      </c>
      <c r="J448" s="103">
        <f>PSK_AT_verzia_4_0!J448-PSK_AT_verzia_3_5!J409</f>
        <v>0</v>
      </c>
      <c r="K448" s="103">
        <f>PSK_AT_verzia_4_0!K448-PSK_AT_verzia_3_5!K409</f>
        <v>0</v>
      </c>
      <c r="L448" s="103">
        <f>PSK_AT_verzia_4_0!L448-PSK_AT_verzia_3_5!L409</f>
        <v>0</v>
      </c>
      <c r="M448" s="103">
        <f>PSK_AT_verzia_4_0!M448-PSK_AT_verzia_3_5!M409</f>
        <v>0</v>
      </c>
      <c r="N448" s="103">
        <f>PSK_AT_verzia_4_0!N448-PSK_AT_verzia_3_5!N409</f>
        <v>0</v>
      </c>
      <c r="O448" s="103">
        <f>PSK_AT_verzia_4_0!O448-PSK_AT_verzia_3_5!O409</f>
        <v>0</v>
      </c>
      <c r="P448" s="103">
        <f>PSK_AT_verzia_4_0!P448-PSK_AT_verzia_3_5!P409</f>
        <v>0</v>
      </c>
      <c r="Q448" s="103">
        <f>PSK_AT_verzia_4_0!Q448-PSK_AT_verzia_3_5!Q409</f>
        <v>0</v>
      </c>
    </row>
    <row r="449" spans="1:17" ht="28.5" x14ac:dyDescent="0.35">
      <c r="A449" s="241" t="s">
        <v>373</v>
      </c>
      <c r="B449" s="242" t="s">
        <v>374</v>
      </c>
      <c r="C449" s="52">
        <f>PSK_AT_verzia_4_0!C449-PSK_AT_verzia_3_5!C410</f>
        <v>-8371576</v>
      </c>
      <c r="D449" s="52">
        <f>PSK_AT_verzia_4_0!D449-PSK_AT_verzia_3_5!D410</f>
        <v>-5000000</v>
      </c>
      <c r="E449" s="52">
        <f>PSK_AT_verzia_4_0!E449-PSK_AT_verzia_3_5!E410</f>
        <v>0</v>
      </c>
      <c r="F449" s="54" t="s">
        <v>375</v>
      </c>
      <c r="G449" s="52">
        <f>PSK_AT_verzia_4_0!G449-PSK_AT_verzia_3_5!G410</f>
        <v>-12794769</v>
      </c>
      <c r="H449" s="52">
        <f>PSK_AT_verzia_4_0!H449-PSK_AT_verzia_3_5!H410</f>
        <v>-7794769</v>
      </c>
      <c r="I449" s="52">
        <f>PSK_AT_verzia_4_0!I449-PSK_AT_verzia_3_5!I410</f>
        <v>-5000000</v>
      </c>
      <c r="J449" s="52">
        <f>PSK_AT_verzia_4_0!J449-PSK_AT_verzia_3_5!J410</f>
        <v>-12794769</v>
      </c>
      <c r="K449" s="52">
        <f>PSK_AT_verzia_4_0!K449-PSK_AT_verzia_3_5!K410</f>
        <v>-7794769</v>
      </c>
      <c r="L449" s="52">
        <f>PSK_AT_verzia_4_0!L449-PSK_AT_verzia_3_5!L410</f>
        <v>-5000000</v>
      </c>
      <c r="M449" s="52">
        <f>PSK_AT_verzia_4_0!M449-PSK_AT_verzia_3_5!M410</f>
        <v>0</v>
      </c>
      <c r="N449" s="52">
        <f>PSK_AT_verzia_4_0!N449-PSK_AT_verzia_3_5!N410</f>
        <v>0</v>
      </c>
      <c r="O449" s="52">
        <f>PSK_AT_verzia_4_0!O449-PSK_AT_verzia_3_5!O410</f>
        <v>0</v>
      </c>
      <c r="P449" s="52">
        <f>PSK_AT_verzia_4_0!P449-PSK_AT_verzia_3_5!P410</f>
        <v>0</v>
      </c>
      <c r="Q449" s="52">
        <f>PSK_AT_verzia_4_0!Q449-PSK_AT_verzia_3_5!Q410</f>
        <v>0</v>
      </c>
    </row>
    <row r="450" spans="1:17" ht="28" customHeight="1" x14ac:dyDescent="0.35">
      <c r="A450" s="241"/>
      <c r="B450" s="242"/>
      <c r="C450" s="99">
        <f>PSK_AT_verzia_4_0!C450-PSK_AT_verzia_3_5!C411</f>
        <v>-8371576</v>
      </c>
      <c r="D450" s="60">
        <f>PSK_AT_verzia_4_0!D450-PSK_AT_verzia_3_5!D411</f>
        <v>0</v>
      </c>
      <c r="E450" s="72">
        <f>PSK_AT_verzia_4_0!E450-PSK_AT_verzia_3_5!E411</f>
        <v>0</v>
      </c>
      <c r="F450" s="61" t="s">
        <v>321</v>
      </c>
      <c r="G450" s="60">
        <f>PSK_AT_verzia_4_0!G450-PSK_AT_verzia_3_5!G411</f>
        <v>-7794769</v>
      </c>
      <c r="H450" s="60">
        <f>PSK_AT_verzia_4_0!H450-PSK_AT_verzia_3_5!H411</f>
        <v>-2794769</v>
      </c>
      <c r="I450" s="60">
        <f>PSK_AT_verzia_4_0!I450-PSK_AT_verzia_3_5!I411</f>
        <v>-5000000</v>
      </c>
      <c r="J450" s="60">
        <f>PSK_AT_verzia_4_0!J450-PSK_AT_verzia_3_5!J411</f>
        <v>-7794769</v>
      </c>
      <c r="K450" s="60">
        <f>PSK_AT_verzia_4_0!K450-PSK_AT_verzia_3_5!K411</f>
        <v>-2794769</v>
      </c>
      <c r="L450" s="60">
        <f>PSK_AT_verzia_4_0!L450-PSK_AT_verzia_3_5!L411</f>
        <v>-5000000</v>
      </c>
      <c r="M450" s="60">
        <f>PSK_AT_verzia_4_0!M450-PSK_AT_verzia_3_5!M411</f>
        <v>0</v>
      </c>
      <c r="N450" s="60">
        <f>PSK_AT_verzia_4_0!N450-PSK_AT_verzia_3_5!N411</f>
        <v>0</v>
      </c>
      <c r="O450" s="60">
        <f>PSK_AT_verzia_4_0!O450-PSK_AT_verzia_3_5!O411</f>
        <v>0</v>
      </c>
      <c r="P450" s="60">
        <f>PSK_AT_verzia_4_0!P450-PSK_AT_verzia_3_5!P411</f>
        <v>0</v>
      </c>
      <c r="Q450" s="60">
        <f>PSK_AT_verzia_4_0!Q450-PSK_AT_verzia_3_5!Q411</f>
        <v>0</v>
      </c>
    </row>
    <row r="451" spans="1:17" ht="28" customHeight="1" x14ac:dyDescent="0.35">
      <c r="A451" s="241"/>
      <c r="B451" s="242"/>
      <c r="C451" s="200">
        <f>PSK_AT_verzia_4_0!C451-PSK_AT_verzia_3_5!C412</f>
        <v>0</v>
      </c>
      <c r="D451" s="200">
        <f>PSK_AT_verzia_4_0!D451-PSK_AT_verzia_3_5!D412</f>
        <v>0</v>
      </c>
      <c r="E451" s="200">
        <f>PSK_AT_verzia_4_0!E451-PSK_AT_verzia_3_5!E412</f>
        <v>0</v>
      </c>
      <c r="F451" s="66" t="s">
        <v>322</v>
      </c>
      <c r="G451" s="67">
        <f>PSK_AT_verzia_4_0!G451-PSK_AT_verzia_3_5!G412</f>
        <v>576807</v>
      </c>
      <c r="H451" s="67">
        <f>PSK_AT_verzia_4_0!H451-PSK_AT_verzia_3_5!H412</f>
        <v>576807</v>
      </c>
      <c r="I451" s="67">
        <f>PSK_AT_verzia_4_0!I451-PSK_AT_verzia_3_5!I412</f>
        <v>0</v>
      </c>
      <c r="J451" s="67">
        <f>PSK_AT_verzia_4_0!J451-PSK_AT_verzia_3_5!J412</f>
        <v>576807</v>
      </c>
      <c r="K451" s="67">
        <f>PSK_AT_verzia_4_0!K451-PSK_AT_verzia_3_5!K412</f>
        <v>576807</v>
      </c>
      <c r="L451" s="67">
        <f>PSK_AT_verzia_4_0!L451-PSK_AT_verzia_3_5!L412</f>
        <v>0</v>
      </c>
      <c r="M451" s="67">
        <f>PSK_AT_verzia_4_0!M451-PSK_AT_verzia_3_5!M412</f>
        <v>0</v>
      </c>
      <c r="N451" s="67">
        <f>PSK_AT_verzia_4_0!N451-PSK_AT_verzia_3_5!N412</f>
        <v>0</v>
      </c>
      <c r="O451" s="67">
        <f>PSK_AT_verzia_4_0!O451-PSK_AT_verzia_3_5!O412</f>
        <v>0</v>
      </c>
      <c r="P451" s="67">
        <f>PSK_AT_verzia_4_0!P451-PSK_AT_verzia_3_5!P412</f>
        <v>0</v>
      </c>
      <c r="Q451" s="67">
        <f>PSK_AT_verzia_4_0!Q451-PSK_AT_verzia_3_5!Q412</f>
        <v>0</v>
      </c>
    </row>
    <row r="452" spans="1:17" ht="28" customHeight="1" x14ac:dyDescent="0.35">
      <c r="A452" s="241"/>
      <c r="B452" s="242"/>
      <c r="C452" s="200">
        <f>PSK_AT_verzia_4_0!C452-PSK_AT_verzia_3_5!C413</f>
        <v>0</v>
      </c>
      <c r="D452" s="200">
        <f>PSK_AT_verzia_4_0!D452-PSK_AT_verzia_3_5!D413</f>
        <v>0</v>
      </c>
      <c r="E452" s="200">
        <f>PSK_AT_verzia_4_0!E452-PSK_AT_verzia_3_5!E413</f>
        <v>0</v>
      </c>
      <c r="F452" s="66" t="s">
        <v>338</v>
      </c>
      <c r="G452" s="74">
        <f>PSK_AT_verzia_4_0!G452-PSK_AT_verzia_3_5!G413</f>
        <v>0</v>
      </c>
      <c r="H452" s="74">
        <f>PSK_AT_verzia_4_0!H452-PSK_AT_verzia_3_5!H413</f>
        <v>0</v>
      </c>
      <c r="I452" s="74">
        <f>PSK_AT_verzia_4_0!I452-PSK_AT_verzia_3_5!I413</f>
        <v>0</v>
      </c>
      <c r="J452" s="74">
        <f>PSK_AT_verzia_4_0!J452-PSK_AT_verzia_3_5!J413</f>
        <v>0</v>
      </c>
      <c r="K452" s="74">
        <f>PSK_AT_verzia_4_0!K452-PSK_AT_verzia_3_5!K413</f>
        <v>0</v>
      </c>
      <c r="L452" s="74">
        <f>PSK_AT_verzia_4_0!L452-PSK_AT_verzia_3_5!L413</f>
        <v>0</v>
      </c>
      <c r="M452" s="74">
        <f>PSK_AT_verzia_4_0!M452-PSK_AT_verzia_3_5!M413</f>
        <v>0</v>
      </c>
      <c r="N452" s="74">
        <f>PSK_AT_verzia_4_0!N452-PSK_AT_verzia_3_5!N413</f>
        <v>0</v>
      </c>
      <c r="O452" s="74">
        <f>PSK_AT_verzia_4_0!O452-PSK_AT_verzia_3_5!O413</f>
        <v>0</v>
      </c>
      <c r="P452" s="74">
        <f>PSK_AT_verzia_4_0!P452-PSK_AT_verzia_3_5!P413</f>
        <v>0</v>
      </c>
      <c r="Q452" s="74">
        <f>PSK_AT_verzia_4_0!Q452-PSK_AT_verzia_3_5!Q413</f>
        <v>0</v>
      </c>
    </row>
    <row r="453" spans="1:17" ht="28.5" x14ac:dyDescent="0.35">
      <c r="A453" s="241"/>
      <c r="B453" s="242"/>
      <c r="C453" s="200">
        <f>PSK_AT_verzia_4_0!C453-PSK_AT_verzia_3_5!C414</f>
        <v>0</v>
      </c>
      <c r="D453" s="200">
        <f>PSK_AT_verzia_4_0!D453-PSK_AT_verzia_3_5!D414</f>
        <v>0</v>
      </c>
      <c r="E453" s="200">
        <f>PSK_AT_verzia_4_0!E453-PSK_AT_verzia_3_5!E414</f>
        <v>0</v>
      </c>
      <c r="F453" s="66" t="s">
        <v>336</v>
      </c>
      <c r="G453" s="71">
        <f>PSK_AT_verzia_4_0!G453-PSK_AT_verzia_3_5!G414</f>
        <v>-7084986</v>
      </c>
      <c r="H453" s="71">
        <f>PSK_AT_verzia_4_0!H453-PSK_AT_verzia_3_5!H414</f>
        <v>-2084986</v>
      </c>
      <c r="I453" s="71">
        <f>PSK_AT_verzia_4_0!I453-PSK_AT_verzia_3_5!I414</f>
        <v>-5000000</v>
      </c>
      <c r="J453" s="71">
        <f>PSK_AT_verzia_4_0!J453-PSK_AT_verzia_3_5!J414</f>
        <v>-7084986</v>
      </c>
      <c r="K453" s="71">
        <f>PSK_AT_verzia_4_0!K453-PSK_AT_verzia_3_5!K414</f>
        <v>-2084986</v>
      </c>
      <c r="L453" s="71">
        <f>PSK_AT_verzia_4_0!L453-PSK_AT_verzia_3_5!L414</f>
        <v>-5000000</v>
      </c>
      <c r="M453" s="71">
        <f>PSK_AT_verzia_4_0!M453-PSK_AT_verzia_3_5!M414</f>
        <v>0</v>
      </c>
      <c r="N453" s="71">
        <f>PSK_AT_verzia_4_0!N453-PSK_AT_verzia_3_5!N414</f>
        <v>0</v>
      </c>
      <c r="O453" s="71">
        <f>PSK_AT_verzia_4_0!O453-PSK_AT_verzia_3_5!O414</f>
        <v>0</v>
      </c>
      <c r="P453" s="71">
        <f>PSK_AT_verzia_4_0!P453-PSK_AT_verzia_3_5!P414</f>
        <v>0</v>
      </c>
      <c r="Q453" s="71">
        <f>PSK_AT_verzia_4_0!Q453-PSK_AT_verzia_3_5!Q414</f>
        <v>0</v>
      </c>
    </row>
    <row r="454" spans="1:17" ht="28.5" x14ac:dyDescent="0.35">
      <c r="A454" s="241"/>
      <c r="B454" s="242"/>
      <c r="C454" s="200">
        <f>PSK_AT_verzia_4_0!C454-PSK_AT_verzia_3_5!C415</f>
        <v>0</v>
      </c>
      <c r="D454" s="200">
        <f>PSK_AT_verzia_4_0!D454-PSK_AT_verzia_3_5!D415</f>
        <v>0</v>
      </c>
      <c r="E454" s="200">
        <f>PSK_AT_verzia_4_0!E454-PSK_AT_verzia_3_5!E415</f>
        <v>0</v>
      </c>
      <c r="F454" s="66" t="s">
        <v>337</v>
      </c>
      <c r="G454" s="71">
        <f>PSK_AT_verzia_4_0!G454-PSK_AT_verzia_3_5!G415</f>
        <v>-1286590</v>
      </c>
      <c r="H454" s="71">
        <f>PSK_AT_verzia_4_0!H454-PSK_AT_verzia_3_5!H415</f>
        <v>-1286590</v>
      </c>
      <c r="I454" s="71">
        <f>PSK_AT_verzia_4_0!I454-PSK_AT_verzia_3_5!I415</f>
        <v>0</v>
      </c>
      <c r="J454" s="71">
        <f>PSK_AT_verzia_4_0!J454-PSK_AT_verzia_3_5!J415</f>
        <v>-1286590</v>
      </c>
      <c r="K454" s="71">
        <f>PSK_AT_verzia_4_0!K454-PSK_AT_verzia_3_5!K415</f>
        <v>-1286590</v>
      </c>
      <c r="L454" s="71">
        <f>PSK_AT_verzia_4_0!L454-PSK_AT_verzia_3_5!L415</f>
        <v>0</v>
      </c>
      <c r="M454" s="71">
        <f>PSK_AT_verzia_4_0!M454-PSK_AT_verzia_3_5!M415</f>
        <v>0</v>
      </c>
      <c r="N454" s="71">
        <f>PSK_AT_verzia_4_0!N454-PSK_AT_verzia_3_5!N415</f>
        <v>0</v>
      </c>
      <c r="O454" s="71">
        <f>PSK_AT_verzia_4_0!O454-PSK_AT_verzia_3_5!O415</f>
        <v>0</v>
      </c>
      <c r="P454" s="71">
        <f>PSK_AT_verzia_4_0!P454-PSK_AT_verzia_3_5!P415</f>
        <v>0</v>
      </c>
      <c r="Q454" s="71">
        <f>PSK_AT_verzia_4_0!Q454-PSK_AT_verzia_3_5!Q415</f>
        <v>0</v>
      </c>
    </row>
    <row r="455" spans="1:17" ht="28.5" x14ac:dyDescent="0.35">
      <c r="A455" s="241"/>
      <c r="B455" s="242"/>
      <c r="C455" s="60">
        <f>PSK_AT_verzia_4_0!C455-PSK_AT_verzia_3_5!C416</f>
        <v>0</v>
      </c>
      <c r="D455" s="112">
        <f>PSK_AT_verzia_4_0!D455-PSK_AT_verzia_3_5!D416</f>
        <v>-5000000</v>
      </c>
      <c r="E455" s="60">
        <f>PSK_AT_verzia_4_0!E455-PSK_AT_verzia_3_5!E416</f>
        <v>0</v>
      </c>
      <c r="F455" s="61" t="s">
        <v>186</v>
      </c>
      <c r="G455" s="60">
        <f>PSK_AT_verzia_4_0!G455-PSK_AT_verzia_3_5!G416</f>
        <v>-5000000</v>
      </c>
      <c r="H455" s="60">
        <f>PSK_AT_verzia_4_0!H455-PSK_AT_verzia_3_5!H416</f>
        <v>-5000000</v>
      </c>
      <c r="I455" s="60">
        <f>PSK_AT_verzia_4_0!I455-PSK_AT_verzia_3_5!I416</f>
        <v>0</v>
      </c>
      <c r="J455" s="60">
        <f>PSK_AT_verzia_4_0!J455-PSK_AT_verzia_3_5!J416</f>
        <v>-5000000</v>
      </c>
      <c r="K455" s="60">
        <f>PSK_AT_verzia_4_0!K455-PSK_AT_verzia_3_5!K416</f>
        <v>-5000000</v>
      </c>
      <c r="L455" s="60">
        <f>PSK_AT_verzia_4_0!L455-PSK_AT_verzia_3_5!L416</f>
        <v>0</v>
      </c>
      <c r="M455" s="60">
        <f>PSK_AT_verzia_4_0!M455-PSK_AT_verzia_3_5!M416</f>
        <v>0</v>
      </c>
      <c r="N455" s="60">
        <f>PSK_AT_verzia_4_0!N455-PSK_AT_verzia_3_5!N416</f>
        <v>0</v>
      </c>
      <c r="O455" s="60">
        <f>PSK_AT_verzia_4_0!O455-PSK_AT_verzia_3_5!O416</f>
        <v>0</v>
      </c>
      <c r="P455" s="60">
        <f>PSK_AT_verzia_4_0!P455-PSK_AT_verzia_3_5!P416</f>
        <v>0</v>
      </c>
      <c r="Q455" s="60">
        <f>PSK_AT_verzia_4_0!Q455-PSK_AT_verzia_3_5!Q416</f>
        <v>0</v>
      </c>
    </row>
    <row r="456" spans="1:17" ht="28" customHeight="1" x14ac:dyDescent="0.35">
      <c r="A456" s="241"/>
      <c r="B456" s="242"/>
      <c r="C456" s="200">
        <f>PSK_AT_verzia_4_0!C456-PSK_AT_verzia_3_5!C417</f>
        <v>0</v>
      </c>
      <c r="D456" s="200">
        <f>PSK_AT_verzia_4_0!D456-PSK_AT_verzia_3_5!D417</f>
        <v>0</v>
      </c>
      <c r="E456" s="200">
        <f>PSK_AT_verzia_4_0!E456-PSK_AT_verzia_3_5!E417</f>
        <v>0</v>
      </c>
      <c r="F456" s="66" t="s">
        <v>187</v>
      </c>
      <c r="G456" s="103">
        <f>PSK_AT_verzia_4_0!G456-PSK_AT_verzia_3_5!G417</f>
        <v>-5000000</v>
      </c>
      <c r="H456" s="103">
        <f>PSK_AT_verzia_4_0!H456-PSK_AT_verzia_3_5!H417</f>
        <v>-5000000</v>
      </c>
      <c r="I456" s="103">
        <f>PSK_AT_verzia_4_0!I456-PSK_AT_verzia_3_5!I417</f>
        <v>0</v>
      </c>
      <c r="J456" s="103">
        <f>PSK_AT_verzia_4_0!J456-PSK_AT_verzia_3_5!J417</f>
        <v>-5000000</v>
      </c>
      <c r="K456" s="103">
        <f>PSK_AT_verzia_4_0!K456-PSK_AT_verzia_3_5!K417</f>
        <v>-5000000</v>
      </c>
      <c r="L456" s="103">
        <f>PSK_AT_verzia_4_0!L456-PSK_AT_verzia_3_5!L417</f>
        <v>0</v>
      </c>
      <c r="M456" s="103">
        <f>PSK_AT_verzia_4_0!M456-PSK_AT_verzia_3_5!M417</f>
        <v>0</v>
      </c>
      <c r="N456" s="103">
        <f>PSK_AT_verzia_4_0!N456-PSK_AT_verzia_3_5!N417</f>
        <v>0</v>
      </c>
      <c r="O456" s="103">
        <f>PSK_AT_verzia_4_0!O456-PSK_AT_verzia_3_5!O417</f>
        <v>0</v>
      </c>
      <c r="P456" s="103">
        <f>PSK_AT_verzia_4_0!P456-PSK_AT_verzia_3_5!P417</f>
        <v>0</v>
      </c>
      <c r="Q456" s="103">
        <f>PSK_AT_verzia_4_0!Q456-PSK_AT_verzia_3_5!Q417</f>
        <v>0</v>
      </c>
    </row>
    <row r="457" spans="1:17" ht="47.15" customHeight="1" x14ac:dyDescent="0.35">
      <c r="A457" s="241" t="s">
        <v>376</v>
      </c>
      <c r="B457" s="242" t="s">
        <v>377</v>
      </c>
      <c r="C457" s="52">
        <f>PSK_AT_verzia_4_0!C457-PSK_AT_verzia_3_5!C418</f>
        <v>1549272</v>
      </c>
      <c r="D457" s="52">
        <f>PSK_AT_verzia_4_0!D457-PSK_AT_verzia_3_5!D418</f>
        <v>0</v>
      </c>
      <c r="E457" s="52">
        <f>PSK_AT_verzia_4_0!E457-PSK_AT_verzia_3_5!E418</f>
        <v>0</v>
      </c>
      <c r="F457" s="54" t="s">
        <v>378</v>
      </c>
      <c r="G457" s="52">
        <f>PSK_AT_verzia_4_0!G457-PSK_AT_verzia_3_5!G418</f>
        <v>-33554195</v>
      </c>
      <c r="H457" s="52">
        <f>PSK_AT_verzia_4_0!H457-PSK_AT_verzia_3_5!H418</f>
        <v>-40333166</v>
      </c>
      <c r="I457" s="52">
        <f>PSK_AT_verzia_4_0!I457-PSK_AT_verzia_3_5!I418</f>
        <v>6778971</v>
      </c>
      <c r="J457" s="52">
        <f>PSK_AT_verzia_4_0!J457-PSK_AT_verzia_3_5!J418</f>
        <v>-33554195</v>
      </c>
      <c r="K457" s="52">
        <f>PSK_AT_verzia_4_0!K457-PSK_AT_verzia_3_5!K418</f>
        <v>-40333166</v>
      </c>
      <c r="L457" s="52">
        <f>PSK_AT_verzia_4_0!L457-PSK_AT_verzia_3_5!L418</f>
        <v>6778971</v>
      </c>
      <c r="M457" s="52">
        <f>PSK_AT_verzia_4_0!M457-PSK_AT_verzia_3_5!M418</f>
        <v>0</v>
      </c>
      <c r="N457" s="52">
        <f>PSK_AT_verzia_4_0!N457-PSK_AT_verzia_3_5!N418</f>
        <v>0</v>
      </c>
      <c r="O457" s="52">
        <f>PSK_AT_verzia_4_0!O457-PSK_AT_verzia_3_5!O418</f>
        <v>0</v>
      </c>
      <c r="P457" s="52">
        <f>PSK_AT_verzia_4_0!P457-PSK_AT_verzia_3_5!P418</f>
        <v>0</v>
      </c>
      <c r="Q457" s="52">
        <f>PSK_AT_verzia_4_0!Q457-PSK_AT_verzia_3_5!Q418</f>
        <v>0</v>
      </c>
    </row>
    <row r="458" spans="1:17" ht="28" customHeight="1" x14ac:dyDescent="0.35">
      <c r="A458" s="241"/>
      <c r="B458" s="242"/>
      <c r="C458" s="99">
        <f>PSK_AT_verzia_4_0!C458-PSK_AT_verzia_3_5!C419</f>
        <v>4007480</v>
      </c>
      <c r="D458" s="60">
        <f>PSK_AT_verzia_4_0!D458-PSK_AT_verzia_3_5!D419</f>
        <v>0</v>
      </c>
      <c r="E458" s="60">
        <f>PSK_AT_verzia_4_0!E458-PSK_AT_verzia_3_5!E419</f>
        <v>0</v>
      </c>
      <c r="F458" s="61" t="s">
        <v>321</v>
      </c>
      <c r="G458" s="60">
        <f>PSK_AT_verzia_4_0!G458-PSK_AT_verzia_3_5!G419</f>
        <v>-11095987</v>
      </c>
      <c r="H458" s="60">
        <f>PSK_AT_verzia_4_0!H458-PSK_AT_verzia_3_5!H419</f>
        <v>-19174958</v>
      </c>
      <c r="I458" s="60">
        <f>PSK_AT_verzia_4_0!I458-PSK_AT_verzia_3_5!I419</f>
        <v>8078971</v>
      </c>
      <c r="J458" s="60">
        <f>PSK_AT_verzia_4_0!J458-PSK_AT_verzia_3_5!J419</f>
        <v>-11095987</v>
      </c>
      <c r="K458" s="60">
        <f>PSK_AT_verzia_4_0!K458-PSK_AT_verzia_3_5!K419</f>
        <v>-19174958</v>
      </c>
      <c r="L458" s="60">
        <f>PSK_AT_verzia_4_0!L458-PSK_AT_verzia_3_5!L419</f>
        <v>8078971</v>
      </c>
      <c r="M458" s="60">
        <f>PSK_AT_verzia_4_0!M458-PSK_AT_verzia_3_5!M419</f>
        <v>0</v>
      </c>
      <c r="N458" s="60">
        <f>PSK_AT_verzia_4_0!N458-PSK_AT_verzia_3_5!N419</f>
        <v>0</v>
      </c>
      <c r="O458" s="60">
        <f>PSK_AT_verzia_4_0!O458-PSK_AT_verzia_3_5!O419</f>
        <v>0</v>
      </c>
      <c r="P458" s="60">
        <f>PSK_AT_verzia_4_0!P458-PSK_AT_verzia_3_5!P419</f>
        <v>0</v>
      </c>
      <c r="Q458" s="60">
        <f>PSK_AT_verzia_4_0!Q458-PSK_AT_verzia_3_5!Q419</f>
        <v>0</v>
      </c>
    </row>
    <row r="459" spans="1:17" ht="28" customHeight="1" x14ac:dyDescent="0.35">
      <c r="A459" s="241"/>
      <c r="B459" s="242"/>
      <c r="C459" s="200">
        <f>PSK_AT_verzia_4_0!C459-PSK_AT_verzia_3_5!C420</f>
        <v>0</v>
      </c>
      <c r="D459" s="200">
        <f>PSK_AT_verzia_4_0!D459-PSK_AT_verzia_3_5!D420</f>
        <v>0</v>
      </c>
      <c r="E459" s="200">
        <f>PSK_AT_verzia_4_0!E459-PSK_AT_verzia_3_5!E420</f>
        <v>0</v>
      </c>
      <c r="F459" s="66" t="s">
        <v>322</v>
      </c>
      <c r="G459" s="67">
        <f>PSK_AT_verzia_4_0!G459-PSK_AT_verzia_3_5!G420</f>
        <v>-15103467</v>
      </c>
      <c r="H459" s="67">
        <f>PSK_AT_verzia_4_0!H459-PSK_AT_verzia_3_5!H420</f>
        <v>-15082438</v>
      </c>
      <c r="I459" s="67">
        <f>PSK_AT_verzia_4_0!I459-PSK_AT_verzia_3_5!I420</f>
        <v>-21029</v>
      </c>
      <c r="J459" s="67">
        <f>PSK_AT_verzia_4_0!J459-PSK_AT_verzia_3_5!J420</f>
        <v>-15103467</v>
      </c>
      <c r="K459" s="67">
        <f>PSK_AT_verzia_4_0!K459-PSK_AT_verzia_3_5!K420</f>
        <v>-15082438</v>
      </c>
      <c r="L459" s="67">
        <f>PSK_AT_verzia_4_0!L459-PSK_AT_verzia_3_5!L420</f>
        <v>-21029</v>
      </c>
      <c r="M459" s="67">
        <f>PSK_AT_verzia_4_0!M459-PSK_AT_verzia_3_5!M420</f>
        <v>0</v>
      </c>
      <c r="N459" s="67">
        <f>PSK_AT_verzia_4_0!N459-PSK_AT_verzia_3_5!N420</f>
        <v>0</v>
      </c>
      <c r="O459" s="67">
        <f>PSK_AT_verzia_4_0!O459-PSK_AT_verzia_3_5!O420</f>
        <v>0</v>
      </c>
      <c r="P459" s="67">
        <f>PSK_AT_verzia_4_0!P459-PSK_AT_verzia_3_5!P420</f>
        <v>0</v>
      </c>
      <c r="Q459" s="67">
        <f>PSK_AT_verzia_4_0!Q459-PSK_AT_verzia_3_5!Q420</f>
        <v>0</v>
      </c>
    </row>
    <row r="460" spans="1:17" ht="28" customHeight="1" x14ac:dyDescent="0.35">
      <c r="A460" s="241"/>
      <c r="B460" s="242"/>
      <c r="C460" s="200">
        <f>PSK_AT_verzia_4_0!C460-PSK_AT_verzia_3_5!C421</f>
        <v>0</v>
      </c>
      <c r="D460" s="200">
        <f>PSK_AT_verzia_4_0!D460-PSK_AT_verzia_3_5!D421</f>
        <v>0</v>
      </c>
      <c r="E460" s="200">
        <f>PSK_AT_verzia_4_0!E460-PSK_AT_verzia_3_5!E421</f>
        <v>0</v>
      </c>
      <c r="F460" s="66" t="s">
        <v>336</v>
      </c>
      <c r="G460" s="71">
        <f>PSK_AT_verzia_4_0!G460-PSK_AT_verzia_3_5!G421</f>
        <v>4067604</v>
      </c>
      <c r="H460" s="71">
        <f>PSK_AT_verzia_4_0!H460-PSK_AT_verzia_3_5!H421</f>
        <v>-4032396</v>
      </c>
      <c r="I460" s="71">
        <f>PSK_AT_verzia_4_0!I460-PSK_AT_verzia_3_5!I421</f>
        <v>8100000</v>
      </c>
      <c r="J460" s="71">
        <f>PSK_AT_verzia_4_0!J460-PSK_AT_verzia_3_5!J421</f>
        <v>4067604</v>
      </c>
      <c r="K460" s="71">
        <f>PSK_AT_verzia_4_0!K460-PSK_AT_verzia_3_5!K421</f>
        <v>-4032396</v>
      </c>
      <c r="L460" s="71">
        <f>PSK_AT_verzia_4_0!L460-PSK_AT_verzia_3_5!L421</f>
        <v>8100000</v>
      </c>
      <c r="M460" s="71">
        <f>PSK_AT_verzia_4_0!M460-PSK_AT_verzia_3_5!M421</f>
        <v>0</v>
      </c>
      <c r="N460" s="71">
        <f>PSK_AT_verzia_4_0!N460-PSK_AT_verzia_3_5!N421</f>
        <v>0</v>
      </c>
      <c r="O460" s="71">
        <f>PSK_AT_verzia_4_0!O460-PSK_AT_verzia_3_5!O421</f>
        <v>0</v>
      </c>
      <c r="P460" s="71">
        <f>PSK_AT_verzia_4_0!P460-PSK_AT_verzia_3_5!P421</f>
        <v>0</v>
      </c>
      <c r="Q460" s="71">
        <f>PSK_AT_verzia_4_0!Q460-PSK_AT_verzia_3_5!Q421</f>
        <v>0</v>
      </c>
    </row>
    <row r="461" spans="1:17" ht="28" customHeight="1" x14ac:dyDescent="0.35">
      <c r="A461" s="241"/>
      <c r="B461" s="242"/>
      <c r="C461" s="200">
        <f>PSK_AT_verzia_4_0!C461-PSK_AT_verzia_3_5!C422</f>
        <v>0</v>
      </c>
      <c r="D461" s="200">
        <f>PSK_AT_verzia_4_0!D461-PSK_AT_verzia_3_5!D422</f>
        <v>0</v>
      </c>
      <c r="E461" s="200">
        <f>PSK_AT_verzia_4_0!E461-PSK_AT_verzia_3_5!E422</f>
        <v>0</v>
      </c>
      <c r="F461" s="66" t="s">
        <v>337</v>
      </c>
      <c r="G461" s="71">
        <f>PSK_AT_verzia_4_0!G461-PSK_AT_verzia_3_5!G422</f>
        <v>-60124</v>
      </c>
      <c r="H461" s="71">
        <f>PSK_AT_verzia_4_0!H461-PSK_AT_verzia_3_5!H422</f>
        <v>-60124</v>
      </c>
      <c r="I461" s="71">
        <f>PSK_AT_verzia_4_0!I461-PSK_AT_verzia_3_5!I422</f>
        <v>0</v>
      </c>
      <c r="J461" s="71">
        <f>PSK_AT_verzia_4_0!J461-PSK_AT_verzia_3_5!J422</f>
        <v>-60124</v>
      </c>
      <c r="K461" s="71">
        <f>PSK_AT_verzia_4_0!K461-PSK_AT_verzia_3_5!K422</f>
        <v>-60124</v>
      </c>
      <c r="L461" s="71">
        <f>PSK_AT_verzia_4_0!L461-PSK_AT_verzia_3_5!L422</f>
        <v>0</v>
      </c>
      <c r="M461" s="71">
        <f>PSK_AT_verzia_4_0!M461-PSK_AT_verzia_3_5!M422</f>
        <v>0</v>
      </c>
      <c r="N461" s="71">
        <f>PSK_AT_verzia_4_0!N461-PSK_AT_verzia_3_5!N422</f>
        <v>0</v>
      </c>
      <c r="O461" s="71">
        <f>PSK_AT_verzia_4_0!O461-PSK_AT_verzia_3_5!O422</f>
        <v>0</v>
      </c>
      <c r="P461" s="71">
        <f>PSK_AT_verzia_4_0!P461-PSK_AT_verzia_3_5!P422</f>
        <v>0</v>
      </c>
      <c r="Q461" s="71">
        <f>PSK_AT_verzia_4_0!Q461-PSK_AT_verzia_3_5!Q422</f>
        <v>0</v>
      </c>
    </row>
    <row r="462" spans="1:17" ht="28" customHeight="1" x14ac:dyDescent="0.35">
      <c r="A462" s="241"/>
      <c r="B462" s="242"/>
      <c r="C462" s="99">
        <f>PSK_AT_verzia_4_0!C462-PSK_AT_verzia_3_5!C423</f>
        <v>-2458208</v>
      </c>
      <c r="D462" s="60">
        <f>PSK_AT_verzia_4_0!D462-PSK_AT_verzia_3_5!D423</f>
        <v>0</v>
      </c>
      <c r="E462" s="60">
        <f>PSK_AT_verzia_4_0!E462-PSK_AT_verzia_3_5!E423</f>
        <v>0</v>
      </c>
      <c r="F462" s="61" t="s">
        <v>49</v>
      </c>
      <c r="G462" s="60">
        <f>PSK_AT_verzia_4_0!G462-PSK_AT_verzia_3_5!G423</f>
        <v>-22458208</v>
      </c>
      <c r="H462" s="60">
        <f>PSK_AT_verzia_4_0!H462-PSK_AT_verzia_3_5!H423</f>
        <v>-21158208</v>
      </c>
      <c r="I462" s="60">
        <f>PSK_AT_verzia_4_0!I462-PSK_AT_verzia_3_5!I423</f>
        <v>-1300000</v>
      </c>
      <c r="J462" s="60">
        <f>PSK_AT_verzia_4_0!J462-PSK_AT_verzia_3_5!J423</f>
        <v>-22458208</v>
      </c>
      <c r="K462" s="60">
        <f>PSK_AT_verzia_4_0!K462-PSK_AT_verzia_3_5!K423</f>
        <v>-21158208</v>
      </c>
      <c r="L462" s="60">
        <f>PSK_AT_verzia_4_0!L462-PSK_AT_verzia_3_5!L423</f>
        <v>-1300000</v>
      </c>
      <c r="M462" s="60">
        <f>PSK_AT_verzia_4_0!M462-PSK_AT_verzia_3_5!M423</f>
        <v>0</v>
      </c>
      <c r="N462" s="60">
        <f>PSK_AT_verzia_4_0!N462-PSK_AT_verzia_3_5!N423</f>
        <v>0</v>
      </c>
      <c r="O462" s="60">
        <f>PSK_AT_verzia_4_0!O462-PSK_AT_verzia_3_5!O423</f>
        <v>0</v>
      </c>
      <c r="P462" s="60">
        <f>PSK_AT_verzia_4_0!P462-PSK_AT_verzia_3_5!P423</f>
        <v>0</v>
      </c>
      <c r="Q462" s="60">
        <f>PSK_AT_verzia_4_0!Q462-PSK_AT_verzia_3_5!Q423</f>
        <v>0</v>
      </c>
    </row>
    <row r="463" spans="1:17" ht="28" customHeight="1" x14ac:dyDescent="0.35">
      <c r="A463" s="241"/>
      <c r="B463" s="242"/>
      <c r="C463" s="200">
        <f>PSK_AT_verzia_4_0!C463-PSK_AT_verzia_3_5!C424</f>
        <v>0</v>
      </c>
      <c r="D463" s="200">
        <f>PSK_AT_verzia_4_0!D463-PSK_AT_verzia_3_5!D424</f>
        <v>0</v>
      </c>
      <c r="E463" s="200">
        <f>PSK_AT_verzia_4_0!E463-PSK_AT_verzia_3_5!E424</f>
        <v>0</v>
      </c>
      <c r="F463" s="66" t="s">
        <v>50</v>
      </c>
      <c r="G463" s="67">
        <f>PSK_AT_verzia_4_0!G463-PSK_AT_verzia_3_5!G424</f>
        <v>-20000000</v>
      </c>
      <c r="H463" s="67">
        <f>PSK_AT_verzia_4_0!H463-PSK_AT_verzia_3_5!H424</f>
        <v>-20000000</v>
      </c>
      <c r="I463" s="67">
        <f>PSK_AT_verzia_4_0!I463-PSK_AT_verzia_3_5!I424</f>
        <v>0</v>
      </c>
      <c r="J463" s="67">
        <f>PSK_AT_verzia_4_0!J463-PSK_AT_verzia_3_5!J424</f>
        <v>-20000000</v>
      </c>
      <c r="K463" s="67">
        <f>PSK_AT_verzia_4_0!K463-PSK_AT_verzia_3_5!K424</f>
        <v>-20000000</v>
      </c>
      <c r="L463" s="67">
        <f>PSK_AT_verzia_4_0!L463-PSK_AT_verzia_3_5!L424</f>
        <v>0</v>
      </c>
      <c r="M463" s="67">
        <f>PSK_AT_verzia_4_0!M463-PSK_AT_verzia_3_5!M424</f>
        <v>0</v>
      </c>
      <c r="N463" s="67">
        <f>PSK_AT_verzia_4_0!N463-PSK_AT_verzia_3_5!N424</f>
        <v>0</v>
      </c>
      <c r="O463" s="67">
        <f>PSK_AT_verzia_4_0!O463-PSK_AT_verzia_3_5!O424</f>
        <v>0</v>
      </c>
      <c r="P463" s="67">
        <f>PSK_AT_verzia_4_0!P463-PSK_AT_verzia_3_5!P424</f>
        <v>0</v>
      </c>
      <c r="Q463" s="67">
        <f>PSK_AT_verzia_4_0!Q463-PSK_AT_verzia_3_5!Q424</f>
        <v>0</v>
      </c>
    </row>
    <row r="464" spans="1:17" ht="28" customHeight="1" x14ac:dyDescent="0.35">
      <c r="A464" s="241"/>
      <c r="B464" s="242"/>
      <c r="C464" s="200">
        <f>PSK_AT_verzia_4_0!C464-PSK_AT_verzia_3_5!C425</f>
        <v>0</v>
      </c>
      <c r="D464" s="200">
        <f>PSK_AT_verzia_4_0!D464-PSK_AT_verzia_3_5!D425</f>
        <v>0</v>
      </c>
      <c r="E464" s="200">
        <f>PSK_AT_verzia_4_0!E464-PSK_AT_verzia_3_5!E425</f>
        <v>0</v>
      </c>
      <c r="F464" s="66" t="s">
        <v>379</v>
      </c>
      <c r="G464" s="71">
        <f>PSK_AT_verzia_4_0!G464-PSK_AT_verzia_3_5!G425</f>
        <v>-2458208</v>
      </c>
      <c r="H464" s="71">
        <f>PSK_AT_verzia_4_0!H464-PSK_AT_verzia_3_5!H425</f>
        <v>-1158208</v>
      </c>
      <c r="I464" s="71">
        <f>PSK_AT_verzia_4_0!I464-PSK_AT_verzia_3_5!I425</f>
        <v>-1300000</v>
      </c>
      <c r="J464" s="71">
        <f>PSK_AT_verzia_4_0!J464-PSK_AT_verzia_3_5!J425</f>
        <v>-2458208</v>
      </c>
      <c r="K464" s="71">
        <f>PSK_AT_verzia_4_0!K464-PSK_AT_verzia_3_5!K425</f>
        <v>-1158208</v>
      </c>
      <c r="L464" s="71">
        <f>PSK_AT_verzia_4_0!L464-PSK_AT_verzia_3_5!L425</f>
        <v>-1300000</v>
      </c>
      <c r="M464" s="71">
        <f>PSK_AT_verzia_4_0!M464-PSK_AT_verzia_3_5!M425</f>
        <v>0</v>
      </c>
      <c r="N464" s="71">
        <f>PSK_AT_verzia_4_0!N464-PSK_AT_verzia_3_5!N425</f>
        <v>0</v>
      </c>
      <c r="O464" s="71">
        <f>PSK_AT_verzia_4_0!O464-PSK_AT_verzia_3_5!O425</f>
        <v>0</v>
      </c>
      <c r="P464" s="71">
        <f>PSK_AT_verzia_4_0!P464-PSK_AT_verzia_3_5!P425</f>
        <v>0</v>
      </c>
      <c r="Q464" s="71">
        <f>PSK_AT_verzia_4_0!Q464-PSK_AT_verzia_3_5!Q425</f>
        <v>0</v>
      </c>
    </row>
    <row r="465" spans="1:17" ht="28" customHeight="1" x14ac:dyDescent="0.35">
      <c r="A465" s="241"/>
      <c r="B465" s="242"/>
      <c r="C465" s="200">
        <f>PSK_AT_verzia_4_0!C465-PSK_AT_verzia_3_5!C426</f>
        <v>0</v>
      </c>
      <c r="D465" s="200">
        <f>PSK_AT_verzia_4_0!D465-PSK_AT_verzia_3_5!D426</f>
        <v>0</v>
      </c>
      <c r="E465" s="200">
        <f>PSK_AT_verzia_4_0!E465-PSK_AT_verzia_3_5!E426</f>
        <v>0</v>
      </c>
      <c r="F465" s="66" t="s">
        <v>380</v>
      </c>
      <c r="G465" s="71">
        <f>PSK_AT_verzia_4_0!G465-PSK_AT_verzia_3_5!G426</f>
        <v>0</v>
      </c>
      <c r="H465" s="71">
        <f>PSK_AT_verzia_4_0!H465-PSK_AT_verzia_3_5!H426</f>
        <v>0</v>
      </c>
      <c r="I465" s="71">
        <f>PSK_AT_verzia_4_0!I465-PSK_AT_verzia_3_5!I426</f>
        <v>0</v>
      </c>
      <c r="J465" s="71">
        <f>PSK_AT_verzia_4_0!J465-PSK_AT_verzia_3_5!J426</f>
        <v>0</v>
      </c>
      <c r="K465" s="71">
        <f>PSK_AT_verzia_4_0!K465-PSK_AT_verzia_3_5!K426</f>
        <v>0</v>
      </c>
      <c r="L465" s="71">
        <f>PSK_AT_verzia_4_0!L465-PSK_AT_verzia_3_5!L426</f>
        <v>0</v>
      </c>
      <c r="M465" s="71">
        <f>PSK_AT_verzia_4_0!M465-PSK_AT_verzia_3_5!M426</f>
        <v>0</v>
      </c>
      <c r="N465" s="71">
        <f>PSK_AT_verzia_4_0!N465-PSK_AT_verzia_3_5!N426</f>
        <v>0</v>
      </c>
      <c r="O465" s="71">
        <f>PSK_AT_verzia_4_0!O465-PSK_AT_verzia_3_5!O426</f>
        <v>0</v>
      </c>
      <c r="P465" s="71">
        <f>PSK_AT_verzia_4_0!P465-PSK_AT_verzia_3_5!P426</f>
        <v>0</v>
      </c>
      <c r="Q465" s="71">
        <f>PSK_AT_verzia_4_0!Q465-PSK_AT_verzia_3_5!Q426</f>
        <v>0</v>
      </c>
    </row>
    <row r="466" spans="1:17" ht="28.5" x14ac:dyDescent="0.35">
      <c r="A466" s="241" t="s">
        <v>381</v>
      </c>
      <c r="B466" s="242" t="s">
        <v>382</v>
      </c>
      <c r="C466" s="52">
        <f>PSK_AT_verzia_4_0!C466-PSK_AT_verzia_3_5!C427</f>
        <v>0</v>
      </c>
      <c r="D466" s="52">
        <f>PSK_AT_verzia_4_0!D466-PSK_AT_verzia_3_5!D427</f>
        <v>0</v>
      </c>
      <c r="E466" s="52">
        <f>PSK_AT_verzia_4_0!E466-PSK_AT_verzia_3_5!E427</f>
        <v>0</v>
      </c>
      <c r="F466" s="54" t="s">
        <v>383</v>
      </c>
      <c r="G466" s="52">
        <f>PSK_AT_verzia_4_0!G466-PSK_AT_verzia_3_5!G427</f>
        <v>-136392861</v>
      </c>
      <c r="H466" s="52">
        <f>PSK_AT_verzia_4_0!H466-PSK_AT_verzia_3_5!H427</f>
        <v>-136392861</v>
      </c>
      <c r="I466" s="52">
        <f>PSK_AT_verzia_4_0!I466-PSK_AT_verzia_3_5!I427</f>
        <v>0</v>
      </c>
      <c r="J466" s="52">
        <f>PSK_AT_verzia_4_0!J466-PSK_AT_verzia_3_5!J427</f>
        <v>-136392861</v>
      </c>
      <c r="K466" s="52">
        <f>PSK_AT_verzia_4_0!K466-PSK_AT_verzia_3_5!K427</f>
        <v>-136392861</v>
      </c>
      <c r="L466" s="52">
        <f>PSK_AT_verzia_4_0!L466-PSK_AT_verzia_3_5!L427</f>
        <v>0</v>
      </c>
      <c r="M466" s="52">
        <f>PSK_AT_verzia_4_0!M466-PSK_AT_verzia_3_5!M427</f>
        <v>0</v>
      </c>
      <c r="N466" s="52">
        <f>PSK_AT_verzia_4_0!N466-PSK_AT_verzia_3_5!N427</f>
        <v>0</v>
      </c>
      <c r="O466" s="52">
        <f>PSK_AT_verzia_4_0!O466-PSK_AT_verzia_3_5!O427</f>
        <v>0</v>
      </c>
      <c r="P466" s="52">
        <f>PSK_AT_verzia_4_0!P466-PSK_AT_verzia_3_5!P427</f>
        <v>0</v>
      </c>
      <c r="Q466" s="52">
        <f>PSK_AT_verzia_4_0!Q466-PSK_AT_verzia_3_5!Q427</f>
        <v>0</v>
      </c>
    </row>
    <row r="467" spans="1:17" ht="28" customHeight="1" x14ac:dyDescent="0.35">
      <c r="A467" s="241"/>
      <c r="B467" s="242"/>
      <c r="C467" s="60">
        <f>PSK_AT_verzia_4_0!C467-PSK_AT_verzia_3_5!C428</f>
        <v>0</v>
      </c>
      <c r="D467" s="60">
        <f>PSK_AT_verzia_4_0!D467-PSK_AT_verzia_3_5!D428</f>
        <v>0</v>
      </c>
      <c r="E467" s="60">
        <f>PSK_AT_verzia_4_0!E467-PSK_AT_verzia_3_5!E428</f>
        <v>0</v>
      </c>
      <c r="F467" s="61" t="s">
        <v>36</v>
      </c>
      <c r="G467" s="60">
        <f>PSK_AT_verzia_4_0!G467-PSK_AT_verzia_3_5!G428</f>
        <v>-136392861</v>
      </c>
      <c r="H467" s="60">
        <f>PSK_AT_verzia_4_0!H467-PSK_AT_verzia_3_5!H428</f>
        <v>-136392861</v>
      </c>
      <c r="I467" s="60">
        <f>PSK_AT_verzia_4_0!I467-PSK_AT_verzia_3_5!I428</f>
        <v>0</v>
      </c>
      <c r="J467" s="60">
        <f>PSK_AT_verzia_4_0!J467-PSK_AT_verzia_3_5!J428</f>
        <v>-136392861</v>
      </c>
      <c r="K467" s="60">
        <f>PSK_AT_verzia_4_0!K467-PSK_AT_verzia_3_5!K428</f>
        <v>-136392861</v>
      </c>
      <c r="L467" s="60">
        <f>PSK_AT_verzia_4_0!L467-PSK_AT_verzia_3_5!L428</f>
        <v>0</v>
      </c>
      <c r="M467" s="60">
        <f>PSK_AT_verzia_4_0!M467-PSK_AT_verzia_3_5!M428</f>
        <v>0</v>
      </c>
      <c r="N467" s="60">
        <f>PSK_AT_verzia_4_0!N467-PSK_AT_verzia_3_5!N428</f>
        <v>0</v>
      </c>
      <c r="O467" s="60">
        <f>PSK_AT_verzia_4_0!O467-PSK_AT_verzia_3_5!O428</f>
        <v>0</v>
      </c>
      <c r="P467" s="60">
        <f>PSK_AT_verzia_4_0!P467-PSK_AT_verzia_3_5!P428</f>
        <v>0</v>
      </c>
      <c r="Q467" s="60">
        <f>PSK_AT_verzia_4_0!Q467-PSK_AT_verzia_3_5!Q428</f>
        <v>0</v>
      </c>
    </row>
    <row r="468" spans="1:17" ht="28" customHeight="1" x14ac:dyDescent="0.35">
      <c r="A468" s="241"/>
      <c r="B468" s="242"/>
      <c r="C468" s="200">
        <f>PSK_AT_verzia_4_0!C468-PSK_AT_verzia_3_5!C429</f>
        <v>0</v>
      </c>
      <c r="D468" s="200">
        <f>PSK_AT_verzia_4_0!D468-PSK_AT_verzia_3_5!D429</f>
        <v>0</v>
      </c>
      <c r="E468" s="200">
        <f>PSK_AT_verzia_4_0!E468-PSK_AT_verzia_3_5!E429</f>
        <v>0</v>
      </c>
      <c r="F468" s="66" t="s">
        <v>37</v>
      </c>
      <c r="G468" s="67">
        <f>PSK_AT_verzia_4_0!G468-PSK_AT_verzia_3_5!G429</f>
        <v>-136392861</v>
      </c>
      <c r="H468" s="67">
        <f>PSK_AT_verzia_4_0!H468-PSK_AT_verzia_3_5!H429</f>
        <v>-136392861</v>
      </c>
      <c r="I468" s="67">
        <f>PSK_AT_verzia_4_0!I468-PSK_AT_verzia_3_5!I429</f>
        <v>0</v>
      </c>
      <c r="J468" s="67">
        <f>PSK_AT_verzia_4_0!J468-PSK_AT_verzia_3_5!J429</f>
        <v>-136392861</v>
      </c>
      <c r="K468" s="67">
        <f>PSK_AT_verzia_4_0!K468-PSK_AT_verzia_3_5!K429</f>
        <v>-136392861</v>
      </c>
      <c r="L468" s="67">
        <f>PSK_AT_verzia_4_0!L468-PSK_AT_verzia_3_5!L429</f>
        <v>0</v>
      </c>
      <c r="M468" s="67">
        <f>PSK_AT_verzia_4_0!M468-PSK_AT_verzia_3_5!M429</f>
        <v>0</v>
      </c>
      <c r="N468" s="67">
        <f>PSK_AT_verzia_4_0!N468-PSK_AT_verzia_3_5!N429</f>
        <v>0</v>
      </c>
      <c r="O468" s="67">
        <f>PSK_AT_verzia_4_0!O468-PSK_AT_verzia_3_5!O429</f>
        <v>0</v>
      </c>
      <c r="P468" s="67">
        <f>PSK_AT_verzia_4_0!P468-PSK_AT_verzia_3_5!P429</f>
        <v>0</v>
      </c>
      <c r="Q468" s="67">
        <f>PSK_AT_verzia_4_0!Q468-PSK_AT_verzia_3_5!Q429</f>
        <v>0</v>
      </c>
    </row>
    <row r="469" spans="1:17" ht="30" customHeight="1" x14ac:dyDescent="0.35">
      <c r="A469" s="45" t="s">
        <v>384</v>
      </c>
      <c r="B469" s="46" t="s">
        <v>385</v>
      </c>
      <c r="C469" s="47">
        <f>PSK_AT_verzia_4_0!C469-PSK_AT_verzia_3_5!C430</f>
        <v>0</v>
      </c>
      <c r="D469" s="47">
        <f>PSK_AT_verzia_4_0!D469-PSK_AT_verzia_3_5!D430</f>
        <v>-27300000</v>
      </c>
      <c r="E469" s="47">
        <f>PSK_AT_verzia_4_0!E469-PSK_AT_verzia_3_5!E430</f>
        <v>0</v>
      </c>
      <c r="F469" s="49"/>
      <c r="G469" s="48">
        <f>PSK_AT_verzia_4_0!G469-PSK_AT_verzia_3_5!G430</f>
        <v>-27300000</v>
      </c>
      <c r="H469" s="48">
        <f>PSK_AT_verzia_4_0!H469-PSK_AT_verzia_3_5!H430</f>
        <v>-27300000</v>
      </c>
      <c r="I469" s="48">
        <f>PSK_AT_verzia_4_0!I469-PSK_AT_verzia_3_5!I430</f>
        <v>0</v>
      </c>
      <c r="J469" s="48">
        <f>PSK_AT_verzia_4_0!J469-PSK_AT_verzia_3_5!J430</f>
        <v>-27300000</v>
      </c>
      <c r="K469" s="48">
        <f>PSK_AT_verzia_4_0!K469-PSK_AT_verzia_3_5!K430</f>
        <v>-27300000</v>
      </c>
      <c r="L469" s="48">
        <f>PSK_AT_verzia_4_0!L469-PSK_AT_verzia_3_5!L430</f>
        <v>0</v>
      </c>
      <c r="M469" s="48">
        <f>PSK_AT_verzia_4_0!M469-PSK_AT_verzia_3_5!M430</f>
        <v>0</v>
      </c>
      <c r="N469" s="48">
        <f>PSK_AT_verzia_4_0!N469-PSK_AT_verzia_3_5!N430</f>
        <v>0</v>
      </c>
      <c r="O469" s="48">
        <f>PSK_AT_verzia_4_0!O469-PSK_AT_verzia_3_5!O430</f>
        <v>0</v>
      </c>
      <c r="P469" s="48">
        <f>PSK_AT_verzia_4_0!P469-PSK_AT_verzia_3_5!P430</f>
        <v>0</v>
      </c>
      <c r="Q469" s="48">
        <f>PSK_AT_verzia_4_0!Q469-PSK_AT_verzia_3_5!Q430</f>
        <v>0</v>
      </c>
    </row>
    <row r="470" spans="1:17" ht="47" x14ac:dyDescent="0.35">
      <c r="A470" s="241" t="s">
        <v>386</v>
      </c>
      <c r="B470" s="242" t="s">
        <v>387</v>
      </c>
      <c r="C470" s="52">
        <f>PSK_AT_verzia_4_0!C470-PSK_AT_verzia_3_5!C431</f>
        <v>0</v>
      </c>
      <c r="D470" s="52">
        <f>PSK_AT_verzia_4_0!D470-PSK_AT_verzia_3_5!D431</f>
        <v>0</v>
      </c>
      <c r="E470" s="52">
        <f>PSK_AT_verzia_4_0!E470-PSK_AT_verzia_3_5!E431</f>
        <v>0</v>
      </c>
      <c r="F470" s="54" t="s">
        <v>388</v>
      </c>
      <c r="G470" s="52">
        <f>PSK_AT_verzia_4_0!G470-PSK_AT_verzia_3_5!G431</f>
        <v>0</v>
      </c>
      <c r="H470" s="52">
        <f>PSK_AT_verzia_4_0!H470-PSK_AT_verzia_3_5!H431</f>
        <v>0</v>
      </c>
      <c r="I470" s="52">
        <f>PSK_AT_verzia_4_0!I470-PSK_AT_verzia_3_5!I431</f>
        <v>0</v>
      </c>
      <c r="J470" s="52">
        <f>PSK_AT_verzia_4_0!J470-PSK_AT_verzia_3_5!J431</f>
        <v>0</v>
      </c>
      <c r="K470" s="52">
        <f>PSK_AT_verzia_4_0!K470-PSK_AT_verzia_3_5!K431</f>
        <v>0</v>
      </c>
      <c r="L470" s="52">
        <f>PSK_AT_verzia_4_0!L470-PSK_AT_verzia_3_5!L431</f>
        <v>0</v>
      </c>
      <c r="M470" s="52">
        <f>PSK_AT_verzia_4_0!M470-PSK_AT_verzia_3_5!M431</f>
        <v>0</v>
      </c>
      <c r="N470" s="52">
        <f>PSK_AT_verzia_4_0!N470-PSK_AT_verzia_3_5!N431</f>
        <v>0</v>
      </c>
      <c r="O470" s="52">
        <f>PSK_AT_verzia_4_0!O470-PSK_AT_verzia_3_5!O431</f>
        <v>0</v>
      </c>
      <c r="P470" s="52">
        <f>PSK_AT_verzia_4_0!P470-PSK_AT_verzia_3_5!P431</f>
        <v>0</v>
      </c>
      <c r="Q470" s="52">
        <f>PSK_AT_verzia_4_0!Q470-PSK_AT_verzia_3_5!Q431</f>
        <v>0</v>
      </c>
    </row>
    <row r="471" spans="1:17" ht="28" customHeight="1" x14ac:dyDescent="0.35">
      <c r="A471" s="241"/>
      <c r="B471" s="242"/>
      <c r="C471" s="60">
        <f>PSK_AT_verzia_4_0!C471-PSK_AT_verzia_3_5!C432</f>
        <v>0</v>
      </c>
      <c r="D471" s="112">
        <f>PSK_AT_verzia_4_0!D471-PSK_AT_verzia_3_5!D432</f>
        <v>0</v>
      </c>
      <c r="E471" s="60">
        <f>PSK_AT_verzia_4_0!E471-PSK_AT_verzia_3_5!E432</f>
        <v>0</v>
      </c>
      <c r="F471" s="61" t="s">
        <v>186</v>
      </c>
      <c r="G471" s="60">
        <f>PSK_AT_verzia_4_0!G471-PSK_AT_verzia_3_5!G432</f>
        <v>0</v>
      </c>
      <c r="H471" s="60">
        <f>PSK_AT_verzia_4_0!H471-PSK_AT_verzia_3_5!H432</f>
        <v>0</v>
      </c>
      <c r="I471" s="60">
        <f>PSK_AT_verzia_4_0!I471-PSK_AT_verzia_3_5!I432</f>
        <v>0</v>
      </c>
      <c r="J471" s="60">
        <f>PSK_AT_verzia_4_0!J471-PSK_AT_verzia_3_5!J432</f>
        <v>0</v>
      </c>
      <c r="K471" s="60">
        <f>PSK_AT_verzia_4_0!K471-PSK_AT_verzia_3_5!K432</f>
        <v>0</v>
      </c>
      <c r="L471" s="60">
        <f>PSK_AT_verzia_4_0!L471-PSK_AT_verzia_3_5!L432</f>
        <v>0</v>
      </c>
      <c r="M471" s="60">
        <f>PSK_AT_verzia_4_0!M471-PSK_AT_verzia_3_5!M432</f>
        <v>0</v>
      </c>
      <c r="N471" s="60">
        <f>PSK_AT_verzia_4_0!N471-PSK_AT_verzia_3_5!N432</f>
        <v>0</v>
      </c>
      <c r="O471" s="60">
        <f>PSK_AT_verzia_4_0!O471-PSK_AT_verzia_3_5!O432</f>
        <v>0</v>
      </c>
      <c r="P471" s="60">
        <f>PSK_AT_verzia_4_0!P471-PSK_AT_verzia_3_5!P432</f>
        <v>0</v>
      </c>
      <c r="Q471" s="60">
        <f>PSK_AT_verzia_4_0!Q471-PSK_AT_verzia_3_5!Q432</f>
        <v>0</v>
      </c>
    </row>
    <row r="472" spans="1:17" ht="28" customHeight="1" x14ac:dyDescent="0.35">
      <c r="A472" s="241"/>
      <c r="B472" s="242"/>
      <c r="C472" s="200">
        <f>PSK_AT_verzia_4_0!C472-PSK_AT_verzia_3_5!C433</f>
        <v>0</v>
      </c>
      <c r="D472" s="200">
        <f>PSK_AT_verzia_4_0!D472-PSK_AT_verzia_3_5!D433</f>
        <v>0</v>
      </c>
      <c r="E472" s="200">
        <f>PSK_AT_verzia_4_0!E472-PSK_AT_verzia_3_5!E433</f>
        <v>0</v>
      </c>
      <c r="F472" s="66" t="s">
        <v>389</v>
      </c>
      <c r="G472" s="67">
        <f>PSK_AT_verzia_4_0!G472-PSK_AT_verzia_3_5!G433</f>
        <v>0</v>
      </c>
      <c r="H472" s="67">
        <f>PSK_AT_verzia_4_0!H472-PSK_AT_verzia_3_5!H433</f>
        <v>0</v>
      </c>
      <c r="I472" s="67">
        <f>PSK_AT_verzia_4_0!I472-PSK_AT_verzia_3_5!I433</f>
        <v>0</v>
      </c>
      <c r="J472" s="67">
        <f>PSK_AT_verzia_4_0!J472-PSK_AT_verzia_3_5!J433</f>
        <v>0</v>
      </c>
      <c r="K472" s="67">
        <f>PSK_AT_verzia_4_0!K472-PSK_AT_verzia_3_5!K433</f>
        <v>0</v>
      </c>
      <c r="L472" s="67">
        <f>PSK_AT_verzia_4_0!L472-PSK_AT_verzia_3_5!L433</f>
        <v>0</v>
      </c>
      <c r="M472" s="67">
        <f>PSK_AT_verzia_4_0!M472-PSK_AT_verzia_3_5!M433</f>
        <v>0</v>
      </c>
      <c r="N472" s="67">
        <f>PSK_AT_verzia_4_0!N472-PSK_AT_verzia_3_5!N433</f>
        <v>0</v>
      </c>
      <c r="O472" s="67">
        <f>PSK_AT_verzia_4_0!O472-PSK_AT_verzia_3_5!O433</f>
        <v>0</v>
      </c>
      <c r="P472" s="67">
        <f>PSK_AT_verzia_4_0!P472-PSK_AT_verzia_3_5!P433</f>
        <v>0</v>
      </c>
      <c r="Q472" s="67">
        <f>PSK_AT_verzia_4_0!Q472-PSK_AT_verzia_3_5!Q433</f>
        <v>0</v>
      </c>
    </row>
    <row r="473" spans="1:17" ht="28" customHeight="1" x14ac:dyDescent="0.35">
      <c r="A473" s="241"/>
      <c r="B473" s="242"/>
      <c r="C473" s="200">
        <f>PSK_AT_verzia_4_0!C473-PSK_AT_verzia_3_5!C434</f>
        <v>0</v>
      </c>
      <c r="D473" s="200">
        <f>PSK_AT_verzia_4_0!D473-PSK_AT_verzia_3_5!D434</f>
        <v>0</v>
      </c>
      <c r="E473" s="200">
        <f>PSK_AT_verzia_4_0!E473-PSK_AT_verzia_3_5!E434</f>
        <v>0</v>
      </c>
      <c r="F473" s="66" t="s">
        <v>187</v>
      </c>
      <c r="G473" s="103">
        <f>PSK_AT_verzia_4_0!G473-PSK_AT_verzia_3_5!G434</f>
        <v>0</v>
      </c>
      <c r="H473" s="103">
        <f>PSK_AT_verzia_4_0!H473-PSK_AT_verzia_3_5!H434</f>
        <v>0</v>
      </c>
      <c r="I473" s="103">
        <f>PSK_AT_verzia_4_0!I473-PSK_AT_verzia_3_5!I434</f>
        <v>0</v>
      </c>
      <c r="J473" s="103">
        <f>PSK_AT_verzia_4_0!J473-PSK_AT_verzia_3_5!J434</f>
        <v>0</v>
      </c>
      <c r="K473" s="103">
        <f>PSK_AT_verzia_4_0!K473-PSK_AT_verzia_3_5!K434</f>
        <v>0</v>
      </c>
      <c r="L473" s="103">
        <f>PSK_AT_verzia_4_0!L473-PSK_AT_verzia_3_5!L434</f>
        <v>0</v>
      </c>
      <c r="M473" s="103">
        <f>PSK_AT_verzia_4_0!M473-PSK_AT_verzia_3_5!M434</f>
        <v>0</v>
      </c>
      <c r="N473" s="103">
        <f>PSK_AT_verzia_4_0!N473-PSK_AT_verzia_3_5!N434</f>
        <v>0</v>
      </c>
      <c r="O473" s="103">
        <f>PSK_AT_verzia_4_0!O473-PSK_AT_verzia_3_5!O434</f>
        <v>0</v>
      </c>
      <c r="P473" s="103">
        <f>PSK_AT_verzia_4_0!P473-PSK_AT_verzia_3_5!P434</f>
        <v>0</v>
      </c>
      <c r="Q473" s="103">
        <f>PSK_AT_verzia_4_0!Q473-PSK_AT_verzia_3_5!Q434</f>
        <v>0</v>
      </c>
    </row>
    <row r="474" spans="1:17" ht="83.15" customHeight="1" x14ac:dyDescent="0.35">
      <c r="A474" s="241" t="s">
        <v>373</v>
      </c>
      <c r="B474" s="242" t="s">
        <v>374</v>
      </c>
      <c r="C474" s="52">
        <f>PSK_AT_verzia_4_0!C474-PSK_AT_verzia_3_5!C435</f>
        <v>0</v>
      </c>
      <c r="D474" s="52">
        <f>PSK_AT_verzia_4_0!D474-PSK_AT_verzia_3_5!D435</f>
        <v>-27300000</v>
      </c>
      <c r="E474" s="52">
        <f>PSK_AT_verzia_4_0!E474-PSK_AT_verzia_3_5!E435</f>
        <v>0</v>
      </c>
      <c r="F474" s="54" t="s">
        <v>375</v>
      </c>
      <c r="G474" s="52">
        <f>PSK_AT_verzia_4_0!G474-PSK_AT_verzia_3_5!G435</f>
        <v>-27300000</v>
      </c>
      <c r="H474" s="52">
        <f>PSK_AT_verzia_4_0!H474-PSK_AT_verzia_3_5!H435</f>
        <v>-27300000</v>
      </c>
      <c r="I474" s="52">
        <f>PSK_AT_verzia_4_0!I474-PSK_AT_verzia_3_5!I435</f>
        <v>0</v>
      </c>
      <c r="J474" s="52">
        <f>PSK_AT_verzia_4_0!J474-PSK_AT_verzia_3_5!J435</f>
        <v>-27300000</v>
      </c>
      <c r="K474" s="52">
        <f>PSK_AT_verzia_4_0!K474-PSK_AT_verzia_3_5!K435</f>
        <v>-27300000</v>
      </c>
      <c r="L474" s="52">
        <f>PSK_AT_verzia_4_0!L474-PSK_AT_verzia_3_5!L435</f>
        <v>0</v>
      </c>
      <c r="M474" s="52">
        <f>PSK_AT_verzia_4_0!M474-PSK_AT_verzia_3_5!M435</f>
        <v>0</v>
      </c>
      <c r="N474" s="52">
        <f>PSK_AT_verzia_4_0!N474-PSK_AT_verzia_3_5!N435</f>
        <v>0</v>
      </c>
      <c r="O474" s="52">
        <f>PSK_AT_verzia_4_0!O474-PSK_AT_verzia_3_5!O435</f>
        <v>0</v>
      </c>
      <c r="P474" s="52">
        <f>PSK_AT_verzia_4_0!P474-PSK_AT_verzia_3_5!P435</f>
        <v>0</v>
      </c>
      <c r="Q474" s="52">
        <f>PSK_AT_verzia_4_0!Q474-PSK_AT_verzia_3_5!Q435</f>
        <v>0</v>
      </c>
    </row>
    <row r="475" spans="1:17" ht="28" customHeight="1" x14ac:dyDescent="0.35">
      <c r="A475" s="241"/>
      <c r="B475" s="242"/>
      <c r="C475" s="60">
        <f>PSK_AT_verzia_4_0!C475-PSK_AT_verzia_3_5!C436</f>
        <v>0</v>
      </c>
      <c r="D475" s="112">
        <f>PSK_AT_verzia_4_0!D475-PSK_AT_verzia_3_5!D436</f>
        <v>-27300000</v>
      </c>
      <c r="E475" s="60">
        <f>PSK_AT_verzia_4_0!E475-PSK_AT_verzia_3_5!E436</f>
        <v>0</v>
      </c>
      <c r="F475" s="61" t="s">
        <v>186</v>
      </c>
      <c r="G475" s="60">
        <f>PSK_AT_verzia_4_0!G475-PSK_AT_verzia_3_5!G436</f>
        <v>-27300000</v>
      </c>
      <c r="H475" s="60">
        <f>PSK_AT_verzia_4_0!H475-PSK_AT_verzia_3_5!H436</f>
        <v>-27300000</v>
      </c>
      <c r="I475" s="60">
        <f>PSK_AT_verzia_4_0!I475-PSK_AT_verzia_3_5!I436</f>
        <v>0</v>
      </c>
      <c r="J475" s="60">
        <f>PSK_AT_verzia_4_0!J475-PSK_AT_verzia_3_5!J436</f>
        <v>-27300000</v>
      </c>
      <c r="K475" s="60">
        <f>PSK_AT_verzia_4_0!K475-PSK_AT_verzia_3_5!K436</f>
        <v>-27300000</v>
      </c>
      <c r="L475" s="60">
        <f>PSK_AT_verzia_4_0!L475-PSK_AT_verzia_3_5!L436</f>
        <v>0</v>
      </c>
      <c r="M475" s="60">
        <f>PSK_AT_verzia_4_0!M475-PSK_AT_verzia_3_5!M436</f>
        <v>0</v>
      </c>
      <c r="N475" s="60">
        <f>PSK_AT_verzia_4_0!N475-PSK_AT_verzia_3_5!N436</f>
        <v>0</v>
      </c>
      <c r="O475" s="60">
        <f>PSK_AT_verzia_4_0!O475-PSK_AT_verzia_3_5!O436</f>
        <v>0</v>
      </c>
      <c r="P475" s="60">
        <f>PSK_AT_verzia_4_0!P475-PSK_AT_verzia_3_5!P436</f>
        <v>0</v>
      </c>
      <c r="Q475" s="60">
        <f>PSK_AT_verzia_4_0!Q475-PSK_AT_verzia_3_5!Q436</f>
        <v>0</v>
      </c>
    </row>
    <row r="476" spans="1:17" ht="28" customHeight="1" x14ac:dyDescent="0.35">
      <c r="A476" s="241"/>
      <c r="B476" s="242"/>
      <c r="C476" s="200">
        <f>PSK_AT_verzia_4_0!C476-PSK_AT_verzia_3_5!C437</f>
        <v>0</v>
      </c>
      <c r="D476" s="200">
        <f>PSK_AT_verzia_4_0!D476-PSK_AT_verzia_3_5!D437</f>
        <v>0</v>
      </c>
      <c r="E476" s="200">
        <f>PSK_AT_verzia_4_0!E476-PSK_AT_verzia_3_5!E437</f>
        <v>0</v>
      </c>
      <c r="F476" s="66" t="s">
        <v>389</v>
      </c>
      <c r="G476" s="67">
        <f>PSK_AT_verzia_4_0!G476-PSK_AT_verzia_3_5!G437</f>
        <v>0</v>
      </c>
      <c r="H476" s="67">
        <f>PSK_AT_verzia_4_0!H476-PSK_AT_verzia_3_5!H437</f>
        <v>0</v>
      </c>
      <c r="I476" s="67">
        <f>PSK_AT_verzia_4_0!I476-PSK_AT_verzia_3_5!I437</f>
        <v>0</v>
      </c>
      <c r="J476" s="67">
        <f>PSK_AT_verzia_4_0!J476-PSK_AT_verzia_3_5!J437</f>
        <v>0</v>
      </c>
      <c r="K476" s="67">
        <f>PSK_AT_verzia_4_0!K476-PSK_AT_verzia_3_5!K437</f>
        <v>0</v>
      </c>
      <c r="L476" s="67">
        <f>PSK_AT_verzia_4_0!L476-PSK_AT_verzia_3_5!L437</f>
        <v>0</v>
      </c>
      <c r="M476" s="67">
        <f>PSK_AT_verzia_4_0!M476-PSK_AT_verzia_3_5!M437</f>
        <v>0</v>
      </c>
      <c r="N476" s="67">
        <f>PSK_AT_verzia_4_0!N476-PSK_AT_verzia_3_5!N437</f>
        <v>0</v>
      </c>
      <c r="O476" s="67">
        <f>PSK_AT_verzia_4_0!O476-PSK_AT_verzia_3_5!O437</f>
        <v>0</v>
      </c>
      <c r="P476" s="67">
        <f>PSK_AT_verzia_4_0!P476-PSK_AT_verzia_3_5!P437</f>
        <v>0</v>
      </c>
      <c r="Q476" s="67">
        <f>PSK_AT_verzia_4_0!Q476-PSK_AT_verzia_3_5!Q437</f>
        <v>0</v>
      </c>
    </row>
    <row r="477" spans="1:17" ht="28" customHeight="1" x14ac:dyDescent="0.35">
      <c r="A477" s="241"/>
      <c r="B477" s="242"/>
      <c r="C477" s="200">
        <f>PSK_AT_verzia_4_0!C477-PSK_AT_verzia_3_5!C438</f>
        <v>0</v>
      </c>
      <c r="D477" s="200">
        <f>PSK_AT_verzia_4_0!D477-PSK_AT_verzia_3_5!D438</f>
        <v>0</v>
      </c>
      <c r="E477" s="200">
        <f>PSK_AT_verzia_4_0!E477-PSK_AT_verzia_3_5!E438</f>
        <v>0</v>
      </c>
      <c r="F477" s="66" t="s">
        <v>187</v>
      </c>
      <c r="G477" s="103">
        <f>PSK_AT_verzia_4_0!G477-PSK_AT_verzia_3_5!G438</f>
        <v>-27300000</v>
      </c>
      <c r="H477" s="103">
        <f>PSK_AT_verzia_4_0!H477-PSK_AT_verzia_3_5!H438</f>
        <v>-27300000</v>
      </c>
      <c r="I477" s="103">
        <f>PSK_AT_verzia_4_0!I477-PSK_AT_verzia_3_5!I438</f>
        <v>0</v>
      </c>
      <c r="J477" s="103">
        <f>PSK_AT_verzia_4_0!J477-PSK_AT_verzia_3_5!J438</f>
        <v>-27300000</v>
      </c>
      <c r="K477" s="103">
        <f>PSK_AT_verzia_4_0!K477-PSK_AT_verzia_3_5!K438</f>
        <v>-27300000</v>
      </c>
      <c r="L477" s="103">
        <f>PSK_AT_verzia_4_0!L477-PSK_AT_verzia_3_5!L438</f>
        <v>0</v>
      </c>
      <c r="M477" s="103">
        <f>PSK_AT_verzia_4_0!M477-PSK_AT_verzia_3_5!M438</f>
        <v>0</v>
      </c>
      <c r="N477" s="103">
        <f>PSK_AT_verzia_4_0!N477-PSK_AT_verzia_3_5!N438</f>
        <v>0</v>
      </c>
      <c r="O477" s="103">
        <f>PSK_AT_verzia_4_0!O477-PSK_AT_verzia_3_5!O438</f>
        <v>0</v>
      </c>
      <c r="P477" s="103">
        <f>PSK_AT_verzia_4_0!P477-PSK_AT_verzia_3_5!P438</f>
        <v>0</v>
      </c>
      <c r="Q477" s="103">
        <f>PSK_AT_verzia_4_0!Q477-PSK_AT_verzia_3_5!Q438</f>
        <v>0</v>
      </c>
    </row>
    <row r="478" spans="1:17" ht="30" customHeight="1" x14ac:dyDescent="0.35">
      <c r="A478" s="45" t="s">
        <v>390</v>
      </c>
      <c r="B478" s="46" t="s">
        <v>391</v>
      </c>
      <c r="C478" s="47">
        <f>PSK_AT_verzia_4_0!C478-PSK_AT_verzia_3_5!C439</f>
        <v>0</v>
      </c>
      <c r="D478" s="47">
        <f>PSK_AT_verzia_4_0!D478-PSK_AT_verzia_3_5!D439</f>
        <v>0</v>
      </c>
      <c r="E478" s="47">
        <f>PSK_AT_verzia_4_0!E478-PSK_AT_verzia_3_5!E439</f>
        <v>0</v>
      </c>
      <c r="F478" s="49"/>
      <c r="G478" s="48">
        <f>PSK_AT_verzia_4_0!G478-PSK_AT_verzia_3_5!G439</f>
        <v>1043597</v>
      </c>
      <c r="H478" s="48">
        <f>PSK_AT_verzia_4_0!H478-PSK_AT_verzia_3_5!H439</f>
        <v>1043597</v>
      </c>
      <c r="I478" s="48">
        <f>PSK_AT_verzia_4_0!I478-PSK_AT_verzia_3_5!I439</f>
        <v>0</v>
      </c>
      <c r="J478" s="48">
        <f>PSK_AT_verzia_4_0!J478-PSK_AT_verzia_3_5!J439</f>
        <v>0</v>
      </c>
      <c r="K478" s="48">
        <f>PSK_AT_verzia_4_0!K478-PSK_AT_verzia_3_5!K439</f>
        <v>0</v>
      </c>
      <c r="L478" s="48">
        <f>PSK_AT_verzia_4_0!L478-PSK_AT_verzia_3_5!L439</f>
        <v>0</v>
      </c>
      <c r="M478" s="48">
        <f>PSK_AT_verzia_4_0!M478-PSK_AT_verzia_3_5!M439</f>
        <v>0</v>
      </c>
      <c r="N478" s="48">
        <f>PSK_AT_verzia_4_0!N478-PSK_AT_verzia_3_5!N439</f>
        <v>1043597</v>
      </c>
      <c r="O478" s="48">
        <f>PSK_AT_verzia_4_0!O478-PSK_AT_verzia_3_5!O439</f>
        <v>1043597</v>
      </c>
      <c r="P478" s="48">
        <f>PSK_AT_verzia_4_0!P478-PSK_AT_verzia_3_5!P439</f>
        <v>0</v>
      </c>
      <c r="Q478" s="48">
        <f>PSK_AT_verzia_4_0!Q478-PSK_AT_verzia_3_5!Q439</f>
        <v>0</v>
      </c>
    </row>
    <row r="479" spans="1:17" ht="159.65" customHeight="1" x14ac:dyDescent="0.35">
      <c r="A479" s="241" t="s">
        <v>318</v>
      </c>
      <c r="B479" s="242" t="s">
        <v>319</v>
      </c>
      <c r="C479" s="52">
        <f>PSK_AT_verzia_4_0!C479-PSK_AT_verzia_3_5!C440</f>
        <v>0</v>
      </c>
      <c r="D479" s="52">
        <f>PSK_AT_verzia_4_0!D479-PSK_AT_verzia_3_5!D440</f>
        <v>0</v>
      </c>
      <c r="E479" s="52">
        <f>PSK_AT_verzia_4_0!E479-PSK_AT_verzia_3_5!E440</f>
        <v>0</v>
      </c>
      <c r="F479" s="54" t="s">
        <v>320</v>
      </c>
      <c r="G479" s="52">
        <f>PSK_AT_verzia_4_0!G479-PSK_AT_verzia_3_5!G440</f>
        <v>0</v>
      </c>
      <c r="H479" s="52">
        <f>PSK_AT_verzia_4_0!H479-PSK_AT_verzia_3_5!H440</f>
        <v>0</v>
      </c>
      <c r="I479" s="52">
        <f>PSK_AT_verzia_4_0!I479-PSK_AT_verzia_3_5!I440</f>
        <v>0</v>
      </c>
      <c r="J479" s="52">
        <f>PSK_AT_verzia_4_0!J479-PSK_AT_verzia_3_5!J440</f>
        <v>0</v>
      </c>
      <c r="K479" s="52">
        <f>PSK_AT_verzia_4_0!K479-PSK_AT_verzia_3_5!K440</f>
        <v>0</v>
      </c>
      <c r="L479" s="52">
        <f>PSK_AT_verzia_4_0!L479-PSK_AT_verzia_3_5!L440</f>
        <v>0</v>
      </c>
      <c r="M479" s="52">
        <f>PSK_AT_verzia_4_0!M479-PSK_AT_verzia_3_5!M440</f>
        <v>0</v>
      </c>
      <c r="N479" s="52">
        <f>PSK_AT_verzia_4_0!N479-PSK_AT_verzia_3_5!N440</f>
        <v>0</v>
      </c>
      <c r="O479" s="52">
        <f>PSK_AT_verzia_4_0!O479-PSK_AT_verzia_3_5!O440</f>
        <v>0</v>
      </c>
      <c r="P479" s="52">
        <f>PSK_AT_verzia_4_0!P479-PSK_AT_verzia_3_5!P440</f>
        <v>0</v>
      </c>
      <c r="Q479" s="52">
        <f>PSK_AT_verzia_4_0!Q479-PSK_AT_verzia_3_5!Q440</f>
        <v>0</v>
      </c>
    </row>
    <row r="480" spans="1:17" ht="28" customHeight="1" x14ac:dyDescent="0.35">
      <c r="A480" s="241"/>
      <c r="B480" s="242"/>
      <c r="C480" s="60">
        <f>PSK_AT_verzia_4_0!C480-PSK_AT_verzia_3_5!C441</f>
        <v>0</v>
      </c>
      <c r="D480" s="60">
        <f>PSK_AT_verzia_4_0!D480-PSK_AT_verzia_3_5!D441</f>
        <v>0</v>
      </c>
      <c r="E480" s="60">
        <f>PSK_AT_verzia_4_0!E480-PSK_AT_verzia_3_5!E441</f>
        <v>0</v>
      </c>
      <c r="F480" s="61" t="s">
        <v>321</v>
      </c>
      <c r="G480" s="60">
        <f>PSK_AT_verzia_4_0!G480-PSK_AT_verzia_3_5!G441</f>
        <v>0</v>
      </c>
      <c r="H480" s="60">
        <f>PSK_AT_verzia_4_0!H480-PSK_AT_verzia_3_5!H441</f>
        <v>0</v>
      </c>
      <c r="I480" s="60">
        <f>PSK_AT_verzia_4_0!I480-PSK_AT_verzia_3_5!I441</f>
        <v>0</v>
      </c>
      <c r="J480" s="60">
        <f>PSK_AT_verzia_4_0!J480-PSK_AT_verzia_3_5!J441</f>
        <v>0</v>
      </c>
      <c r="K480" s="60">
        <f>PSK_AT_verzia_4_0!K480-PSK_AT_verzia_3_5!K441</f>
        <v>0</v>
      </c>
      <c r="L480" s="60">
        <f>PSK_AT_verzia_4_0!L480-PSK_AT_verzia_3_5!L441</f>
        <v>0</v>
      </c>
      <c r="M480" s="60">
        <f>PSK_AT_verzia_4_0!M480-PSK_AT_verzia_3_5!M441</f>
        <v>0</v>
      </c>
      <c r="N480" s="60">
        <f>PSK_AT_verzia_4_0!N480-PSK_AT_verzia_3_5!N441</f>
        <v>0</v>
      </c>
      <c r="O480" s="60">
        <f>PSK_AT_verzia_4_0!O480-PSK_AT_verzia_3_5!O441</f>
        <v>0</v>
      </c>
      <c r="P480" s="60">
        <f>PSK_AT_verzia_4_0!P480-PSK_AT_verzia_3_5!P441</f>
        <v>0</v>
      </c>
      <c r="Q480" s="60">
        <f>PSK_AT_verzia_4_0!Q480-PSK_AT_verzia_3_5!Q441</f>
        <v>0</v>
      </c>
    </row>
    <row r="481" spans="1:17" ht="28" customHeight="1" x14ac:dyDescent="0.35">
      <c r="A481" s="241"/>
      <c r="B481" s="242"/>
      <c r="C481" s="200">
        <f>PSK_AT_verzia_4_0!C481-PSK_AT_verzia_3_5!C442</f>
        <v>0</v>
      </c>
      <c r="D481" s="200">
        <f>PSK_AT_verzia_4_0!D481-PSK_AT_verzia_3_5!D442</f>
        <v>0</v>
      </c>
      <c r="E481" s="200">
        <f>PSK_AT_verzia_4_0!E481-PSK_AT_verzia_3_5!E442</f>
        <v>0</v>
      </c>
      <c r="F481" s="66" t="s">
        <v>322</v>
      </c>
      <c r="G481" s="67">
        <f>PSK_AT_verzia_4_0!G481-PSK_AT_verzia_3_5!G442</f>
        <v>0</v>
      </c>
      <c r="H481" s="67">
        <f>PSK_AT_verzia_4_0!H481-PSK_AT_verzia_3_5!H442</f>
        <v>0</v>
      </c>
      <c r="I481" s="67">
        <f>PSK_AT_verzia_4_0!I481-PSK_AT_verzia_3_5!I442</f>
        <v>0</v>
      </c>
      <c r="J481" s="67">
        <f>PSK_AT_verzia_4_0!J481-PSK_AT_verzia_3_5!J442</f>
        <v>0</v>
      </c>
      <c r="K481" s="67">
        <f>PSK_AT_verzia_4_0!K481-PSK_AT_verzia_3_5!K442</f>
        <v>0</v>
      </c>
      <c r="L481" s="67">
        <f>PSK_AT_verzia_4_0!L481-PSK_AT_verzia_3_5!L442</f>
        <v>0</v>
      </c>
      <c r="M481" s="67">
        <f>PSK_AT_verzia_4_0!M481-PSK_AT_verzia_3_5!M442</f>
        <v>0</v>
      </c>
      <c r="N481" s="67">
        <f>PSK_AT_verzia_4_0!N481-PSK_AT_verzia_3_5!N442</f>
        <v>0</v>
      </c>
      <c r="O481" s="67">
        <f>PSK_AT_verzia_4_0!O481-PSK_AT_verzia_3_5!O442</f>
        <v>0</v>
      </c>
      <c r="P481" s="67">
        <f>PSK_AT_verzia_4_0!P481-PSK_AT_verzia_3_5!P442</f>
        <v>0</v>
      </c>
      <c r="Q481" s="67">
        <f>PSK_AT_verzia_4_0!Q481-PSK_AT_verzia_3_5!Q442</f>
        <v>0</v>
      </c>
    </row>
    <row r="482" spans="1:17" ht="204.65" customHeight="1" x14ac:dyDescent="0.35">
      <c r="A482" s="241" t="s">
        <v>344</v>
      </c>
      <c r="B482" s="242" t="s">
        <v>345</v>
      </c>
      <c r="C482" s="52">
        <f>PSK_AT_verzia_4_0!C482-PSK_AT_verzia_3_5!C443</f>
        <v>0</v>
      </c>
      <c r="D482" s="52">
        <f>PSK_AT_verzia_4_0!D482-PSK_AT_verzia_3_5!D443</f>
        <v>0</v>
      </c>
      <c r="E482" s="52">
        <f>PSK_AT_verzia_4_0!E482-PSK_AT_verzia_3_5!E443</f>
        <v>0</v>
      </c>
      <c r="F482" s="54" t="s">
        <v>346</v>
      </c>
      <c r="G482" s="52">
        <f>PSK_AT_verzia_4_0!G482-PSK_AT_verzia_3_5!G443</f>
        <v>1043597</v>
      </c>
      <c r="H482" s="52">
        <f>PSK_AT_verzia_4_0!H482-PSK_AT_verzia_3_5!H443</f>
        <v>1043597</v>
      </c>
      <c r="I482" s="52">
        <f>PSK_AT_verzia_4_0!I482-PSK_AT_verzia_3_5!I443</f>
        <v>0</v>
      </c>
      <c r="J482" s="52">
        <f>PSK_AT_verzia_4_0!J482-PSK_AT_verzia_3_5!J443</f>
        <v>0</v>
      </c>
      <c r="K482" s="52">
        <f>PSK_AT_verzia_4_0!K482-PSK_AT_verzia_3_5!K443</f>
        <v>0</v>
      </c>
      <c r="L482" s="52">
        <f>PSK_AT_verzia_4_0!L482-PSK_AT_verzia_3_5!L443</f>
        <v>0</v>
      </c>
      <c r="M482" s="52">
        <f>PSK_AT_verzia_4_0!M482-PSK_AT_verzia_3_5!M443</f>
        <v>0</v>
      </c>
      <c r="N482" s="52">
        <f>PSK_AT_verzia_4_0!N482-PSK_AT_verzia_3_5!N443</f>
        <v>1043597</v>
      </c>
      <c r="O482" s="52">
        <f>PSK_AT_verzia_4_0!O482-PSK_AT_verzia_3_5!O443</f>
        <v>1043597</v>
      </c>
      <c r="P482" s="52">
        <f>PSK_AT_verzia_4_0!P482-PSK_AT_verzia_3_5!P443</f>
        <v>0</v>
      </c>
      <c r="Q482" s="52">
        <f>PSK_AT_verzia_4_0!Q482-PSK_AT_verzia_3_5!Q443</f>
        <v>0</v>
      </c>
    </row>
    <row r="483" spans="1:17" ht="28" customHeight="1" x14ac:dyDescent="0.35">
      <c r="A483" s="241"/>
      <c r="B483" s="242"/>
      <c r="C483" s="60">
        <f>PSK_AT_verzia_4_0!C483-PSK_AT_verzia_3_5!C444</f>
        <v>0</v>
      </c>
      <c r="D483" s="60">
        <f>PSK_AT_verzia_4_0!D483-PSK_AT_verzia_3_5!D444</f>
        <v>0</v>
      </c>
      <c r="E483" s="60">
        <f>PSK_AT_verzia_4_0!E483-PSK_AT_verzia_3_5!E444</f>
        <v>0</v>
      </c>
      <c r="F483" s="61" t="s">
        <v>321</v>
      </c>
      <c r="G483" s="60">
        <f>PSK_AT_verzia_4_0!G483-PSK_AT_verzia_3_5!G444</f>
        <v>1043597</v>
      </c>
      <c r="H483" s="60">
        <f>PSK_AT_verzia_4_0!H483-PSK_AT_verzia_3_5!H444</f>
        <v>1043597</v>
      </c>
      <c r="I483" s="60">
        <f>PSK_AT_verzia_4_0!I483-PSK_AT_verzia_3_5!I444</f>
        <v>0</v>
      </c>
      <c r="J483" s="60">
        <f>PSK_AT_verzia_4_0!J483-PSK_AT_verzia_3_5!J444</f>
        <v>0</v>
      </c>
      <c r="K483" s="60">
        <f>PSK_AT_verzia_4_0!K483-PSK_AT_verzia_3_5!K444</f>
        <v>0</v>
      </c>
      <c r="L483" s="60">
        <f>PSK_AT_verzia_4_0!L483-PSK_AT_verzia_3_5!L444</f>
        <v>0</v>
      </c>
      <c r="M483" s="60">
        <f>PSK_AT_verzia_4_0!M483-PSK_AT_verzia_3_5!M444</f>
        <v>0</v>
      </c>
      <c r="N483" s="60">
        <f>PSK_AT_verzia_4_0!N483-PSK_AT_verzia_3_5!N444</f>
        <v>1043597</v>
      </c>
      <c r="O483" s="60">
        <f>PSK_AT_verzia_4_0!O483-PSK_AT_verzia_3_5!O444</f>
        <v>1043597</v>
      </c>
      <c r="P483" s="60">
        <f>PSK_AT_verzia_4_0!P483-PSK_AT_verzia_3_5!P444</f>
        <v>0</v>
      </c>
      <c r="Q483" s="60">
        <f>PSK_AT_verzia_4_0!Q483-PSK_AT_verzia_3_5!Q444</f>
        <v>0</v>
      </c>
    </row>
    <row r="484" spans="1:17" ht="28" customHeight="1" x14ac:dyDescent="0.35">
      <c r="A484" s="241"/>
      <c r="B484" s="242"/>
      <c r="C484" s="200">
        <f>PSK_AT_verzia_4_0!C484-PSK_AT_verzia_3_5!C445</f>
        <v>0</v>
      </c>
      <c r="D484" s="200">
        <f>PSK_AT_verzia_4_0!D484-PSK_AT_verzia_3_5!D445</f>
        <v>0</v>
      </c>
      <c r="E484" s="200">
        <f>PSK_AT_verzia_4_0!E484-PSK_AT_verzia_3_5!E445</f>
        <v>0</v>
      </c>
      <c r="F484" s="66" t="s">
        <v>322</v>
      </c>
      <c r="G484" s="67">
        <f>PSK_AT_verzia_4_0!G484-PSK_AT_verzia_3_5!G445</f>
        <v>1043597</v>
      </c>
      <c r="H484" s="67">
        <f>PSK_AT_verzia_4_0!H484-PSK_AT_verzia_3_5!H445</f>
        <v>1043597</v>
      </c>
      <c r="I484" s="67">
        <f>PSK_AT_verzia_4_0!I484-PSK_AT_verzia_3_5!I445</f>
        <v>0</v>
      </c>
      <c r="J484" s="67">
        <f>PSK_AT_verzia_4_0!J484-PSK_AT_verzia_3_5!J445</f>
        <v>0</v>
      </c>
      <c r="K484" s="67">
        <f>PSK_AT_verzia_4_0!K484-PSK_AT_verzia_3_5!K445</f>
        <v>0</v>
      </c>
      <c r="L484" s="67">
        <f>PSK_AT_verzia_4_0!L484-PSK_AT_verzia_3_5!L445</f>
        <v>0</v>
      </c>
      <c r="M484" s="67">
        <f>PSK_AT_verzia_4_0!M484-PSK_AT_verzia_3_5!M445</f>
        <v>0</v>
      </c>
      <c r="N484" s="67">
        <f>PSK_AT_verzia_4_0!N484-PSK_AT_verzia_3_5!N445</f>
        <v>1043597</v>
      </c>
      <c r="O484" s="67">
        <f>PSK_AT_verzia_4_0!O484-PSK_AT_verzia_3_5!O445</f>
        <v>1043597</v>
      </c>
      <c r="P484" s="67">
        <f>PSK_AT_verzia_4_0!P484-PSK_AT_verzia_3_5!P445</f>
        <v>0</v>
      </c>
      <c r="Q484" s="67">
        <f>PSK_AT_verzia_4_0!Q484-PSK_AT_verzia_3_5!Q445</f>
        <v>0</v>
      </c>
    </row>
    <row r="485" spans="1:17" ht="47" x14ac:dyDescent="0.35">
      <c r="A485" s="241" t="s">
        <v>363</v>
      </c>
      <c r="B485" s="242" t="s">
        <v>364</v>
      </c>
      <c r="C485" s="52">
        <f>PSK_AT_verzia_4_0!C485-PSK_AT_verzia_3_5!C446</f>
        <v>0</v>
      </c>
      <c r="D485" s="52">
        <f>PSK_AT_verzia_4_0!D485-PSK_AT_verzia_3_5!D446</f>
        <v>0</v>
      </c>
      <c r="E485" s="52">
        <f>PSK_AT_verzia_4_0!E485-PSK_AT_verzia_3_5!E446</f>
        <v>0</v>
      </c>
      <c r="F485" s="54" t="s">
        <v>365</v>
      </c>
      <c r="G485" s="52">
        <f>PSK_AT_verzia_4_0!G485-PSK_AT_verzia_3_5!G446</f>
        <v>0</v>
      </c>
      <c r="H485" s="52">
        <f>PSK_AT_verzia_4_0!H485-PSK_AT_verzia_3_5!H446</f>
        <v>0</v>
      </c>
      <c r="I485" s="52">
        <f>PSK_AT_verzia_4_0!I485-PSK_AT_verzia_3_5!I446</f>
        <v>0</v>
      </c>
      <c r="J485" s="52">
        <f>PSK_AT_verzia_4_0!J485-PSK_AT_verzia_3_5!J446</f>
        <v>0</v>
      </c>
      <c r="K485" s="52">
        <f>PSK_AT_verzia_4_0!K485-PSK_AT_verzia_3_5!K446</f>
        <v>0</v>
      </c>
      <c r="L485" s="52">
        <f>PSK_AT_verzia_4_0!L485-PSK_AT_verzia_3_5!L446</f>
        <v>0</v>
      </c>
      <c r="M485" s="52">
        <f>PSK_AT_verzia_4_0!M485-PSK_AT_verzia_3_5!M446</f>
        <v>0</v>
      </c>
      <c r="N485" s="52">
        <f>PSK_AT_verzia_4_0!N485-PSK_AT_verzia_3_5!N446</f>
        <v>0</v>
      </c>
      <c r="O485" s="52">
        <f>PSK_AT_verzia_4_0!O485-PSK_AT_verzia_3_5!O446</f>
        <v>0</v>
      </c>
      <c r="P485" s="52">
        <f>PSK_AT_verzia_4_0!P485-PSK_AT_verzia_3_5!P446</f>
        <v>0</v>
      </c>
      <c r="Q485" s="52">
        <f>PSK_AT_verzia_4_0!Q485-PSK_AT_verzia_3_5!Q446</f>
        <v>0</v>
      </c>
    </row>
    <row r="486" spans="1:17" ht="28" customHeight="1" x14ac:dyDescent="0.35">
      <c r="A486" s="241"/>
      <c r="B486" s="242"/>
      <c r="C486" s="60">
        <f>PSK_AT_verzia_4_0!C486-PSK_AT_verzia_3_5!C447</f>
        <v>0</v>
      </c>
      <c r="D486" s="60">
        <f>PSK_AT_verzia_4_0!D486-PSK_AT_verzia_3_5!D447</f>
        <v>0</v>
      </c>
      <c r="E486" s="60">
        <f>PSK_AT_verzia_4_0!E486-PSK_AT_verzia_3_5!E447</f>
        <v>0</v>
      </c>
      <c r="F486" s="61" t="s">
        <v>321</v>
      </c>
      <c r="G486" s="60">
        <f>PSK_AT_verzia_4_0!G486-PSK_AT_verzia_3_5!G447</f>
        <v>0</v>
      </c>
      <c r="H486" s="60">
        <f>PSK_AT_verzia_4_0!H486-PSK_AT_verzia_3_5!H447</f>
        <v>0</v>
      </c>
      <c r="I486" s="60">
        <f>PSK_AT_verzia_4_0!I486-PSK_AT_verzia_3_5!I447</f>
        <v>0</v>
      </c>
      <c r="J486" s="60">
        <f>PSK_AT_verzia_4_0!J486-PSK_AT_verzia_3_5!J447</f>
        <v>0</v>
      </c>
      <c r="K486" s="60">
        <f>PSK_AT_verzia_4_0!K486-PSK_AT_verzia_3_5!K447</f>
        <v>0</v>
      </c>
      <c r="L486" s="60">
        <f>PSK_AT_verzia_4_0!L486-PSK_AT_verzia_3_5!L447</f>
        <v>0</v>
      </c>
      <c r="M486" s="60">
        <f>PSK_AT_verzia_4_0!M486-PSK_AT_verzia_3_5!M447</f>
        <v>0</v>
      </c>
      <c r="N486" s="60">
        <f>PSK_AT_verzia_4_0!N486-PSK_AT_verzia_3_5!N447</f>
        <v>0</v>
      </c>
      <c r="O486" s="60">
        <f>PSK_AT_verzia_4_0!O486-PSK_AT_verzia_3_5!O447</f>
        <v>0</v>
      </c>
      <c r="P486" s="60">
        <f>PSK_AT_verzia_4_0!P486-PSK_AT_verzia_3_5!P447</f>
        <v>0</v>
      </c>
      <c r="Q486" s="60">
        <f>PSK_AT_verzia_4_0!Q486-PSK_AT_verzia_3_5!Q447</f>
        <v>0</v>
      </c>
    </row>
    <row r="487" spans="1:17" ht="28" customHeight="1" x14ac:dyDescent="0.35">
      <c r="A487" s="241"/>
      <c r="B487" s="242"/>
      <c r="C487" s="200">
        <f>PSK_AT_verzia_4_0!C487-PSK_AT_verzia_3_5!C448</f>
        <v>0</v>
      </c>
      <c r="D487" s="200">
        <f>PSK_AT_verzia_4_0!D487-PSK_AT_verzia_3_5!D448</f>
        <v>0</v>
      </c>
      <c r="E487" s="200">
        <f>PSK_AT_verzia_4_0!E487-PSK_AT_verzia_3_5!E448</f>
        <v>0</v>
      </c>
      <c r="F487" s="66" t="s">
        <v>322</v>
      </c>
      <c r="G487" s="67">
        <f>PSK_AT_verzia_4_0!G487-PSK_AT_verzia_3_5!G448</f>
        <v>0</v>
      </c>
      <c r="H487" s="67">
        <f>PSK_AT_verzia_4_0!H487-PSK_AT_verzia_3_5!H448</f>
        <v>0</v>
      </c>
      <c r="I487" s="67">
        <f>PSK_AT_verzia_4_0!I487-PSK_AT_verzia_3_5!I448</f>
        <v>0</v>
      </c>
      <c r="J487" s="67">
        <f>PSK_AT_verzia_4_0!J487-PSK_AT_verzia_3_5!J448</f>
        <v>0</v>
      </c>
      <c r="K487" s="67">
        <f>PSK_AT_verzia_4_0!K487-PSK_AT_verzia_3_5!K448</f>
        <v>0</v>
      </c>
      <c r="L487" s="67">
        <f>PSK_AT_verzia_4_0!L487-PSK_AT_verzia_3_5!L448</f>
        <v>0</v>
      </c>
      <c r="M487" s="67">
        <f>PSK_AT_verzia_4_0!M487-PSK_AT_verzia_3_5!M448</f>
        <v>0</v>
      </c>
      <c r="N487" s="67">
        <f>PSK_AT_verzia_4_0!N487-PSK_AT_verzia_3_5!N448</f>
        <v>0</v>
      </c>
      <c r="O487" s="67">
        <f>PSK_AT_verzia_4_0!O487-PSK_AT_verzia_3_5!O448</f>
        <v>0</v>
      </c>
      <c r="P487" s="67">
        <f>PSK_AT_verzia_4_0!P487-PSK_AT_verzia_3_5!P448</f>
        <v>0</v>
      </c>
      <c r="Q487" s="67">
        <f>PSK_AT_verzia_4_0!Q487-PSK_AT_verzia_3_5!Q448</f>
        <v>0</v>
      </c>
    </row>
    <row r="488" spans="1:17" ht="30" customHeight="1" x14ac:dyDescent="0.35">
      <c r="A488" s="45" t="s">
        <v>392</v>
      </c>
      <c r="B488" s="46" t="s">
        <v>393</v>
      </c>
      <c r="C488" s="47">
        <f>PSK_AT_verzia_4_0!C488-PSK_AT_verzia_3_5!C449</f>
        <v>0</v>
      </c>
      <c r="D488" s="47">
        <f>PSK_AT_verzia_4_0!D488-PSK_AT_verzia_3_5!D449</f>
        <v>0</v>
      </c>
      <c r="E488" s="47">
        <f>PSK_AT_verzia_4_0!E488-PSK_AT_verzia_3_5!E449</f>
        <v>0</v>
      </c>
      <c r="F488" s="49"/>
      <c r="G488" s="48">
        <f>PSK_AT_verzia_4_0!G488-PSK_AT_verzia_3_5!G449</f>
        <v>1043597</v>
      </c>
      <c r="H488" s="48">
        <f>PSK_AT_verzia_4_0!H488-PSK_AT_verzia_3_5!H449</f>
        <v>1043597</v>
      </c>
      <c r="I488" s="48">
        <f>PSK_AT_verzia_4_0!I488-PSK_AT_verzia_3_5!I449</f>
        <v>0</v>
      </c>
      <c r="J488" s="48">
        <f>PSK_AT_verzia_4_0!J488-PSK_AT_verzia_3_5!J449</f>
        <v>0</v>
      </c>
      <c r="K488" s="48">
        <f>PSK_AT_verzia_4_0!K488-PSK_AT_verzia_3_5!K449</f>
        <v>0</v>
      </c>
      <c r="L488" s="48">
        <f>PSK_AT_verzia_4_0!L488-PSK_AT_verzia_3_5!L449</f>
        <v>0</v>
      </c>
      <c r="M488" s="48">
        <f>PSK_AT_verzia_4_0!M488-PSK_AT_verzia_3_5!M449</f>
        <v>0</v>
      </c>
      <c r="N488" s="48">
        <f>PSK_AT_verzia_4_0!N488-PSK_AT_verzia_3_5!N449</f>
        <v>1043597</v>
      </c>
      <c r="O488" s="48">
        <f>PSK_AT_verzia_4_0!O488-PSK_AT_verzia_3_5!O449</f>
        <v>1043597</v>
      </c>
      <c r="P488" s="48">
        <f>PSK_AT_verzia_4_0!P488-PSK_AT_verzia_3_5!P449</f>
        <v>0</v>
      </c>
      <c r="Q488" s="48">
        <f>PSK_AT_verzia_4_0!Q488-PSK_AT_verzia_3_5!Q449</f>
        <v>0</v>
      </c>
    </row>
    <row r="489" spans="1:17" ht="79.5" customHeight="1" x14ac:dyDescent="0.35">
      <c r="A489" s="241" t="s">
        <v>394</v>
      </c>
      <c r="B489" s="242" t="s">
        <v>395</v>
      </c>
      <c r="C489" s="52">
        <f>PSK_AT_verzia_4_0!C489-PSK_AT_verzia_3_5!C450</f>
        <v>0</v>
      </c>
      <c r="D489" s="52">
        <f>PSK_AT_verzia_4_0!D489-PSK_AT_verzia_3_5!D450</f>
        <v>0</v>
      </c>
      <c r="E489" s="52">
        <f>PSK_AT_verzia_4_0!E489-PSK_AT_verzia_3_5!E450</f>
        <v>0</v>
      </c>
      <c r="F489" s="54" t="s">
        <v>396</v>
      </c>
      <c r="G489" s="52">
        <f>PSK_AT_verzia_4_0!G489-PSK_AT_verzia_3_5!G450</f>
        <v>1043597</v>
      </c>
      <c r="H489" s="52">
        <f>PSK_AT_verzia_4_0!H489-PSK_AT_verzia_3_5!H450</f>
        <v>1043597</v>
      </c>
      <c r="I489" s="52">
        <f>PSK_AT_verzia_4_0!I489-PSK_AT_verzia_3_5!I450</f>
        <v>0</v>
      </c>
      <c r="J489" s="52">
        <f>PSK_AT_verzia_4_0!J489-PSK_AT_verzia_3_5!J450</f>
        <v>0</v>
      </c>
      <c r="K489" s="52">
        <f>PSK_AT_verzia_4_0!K489-PSK_AT_verzia_3_5!K450</f>
        <v>0</v>
      </c>
      <c r="L489" s="52">
        <f>PSK_AT_verzia_4_0!L489-PSK_AT_verzia_3_5!L450</f>
        <v>0</v>
      </c>
      <c r="M489" s="52">
        <f>PSK_AT_verzia_4_0!M489-PSK_AT_verzia_3_5!M450</f>
        <v>0</v>
      </c>
      <c r="N489" s="52">
        <f>PSK_AT_verzia_4_0!N489-PSK_AT_verzia_3_5!N450</f>
        <v>1043597</v>
      </c>
      <c r="O489" s="52">
        <f>PSK_AT_verzia_4_0!O489-PSK_AT_verzia_3_5!O450</f>
        <v>1043597</v>
      </c>
      <c r="P489" s="52">
        <f>PSK_AT_verzia_4_0!P489-PSK_AT_verzia_3_5!P450</f>
        <v>0</v>
      </c>
      <c r="Q489" s="52">
        <f>PSK_AT_verzia_4_0!Q489-PSK_AT_verzia_3_5!Q450</f>
        <v>0</v>
      </c>
    </row>
    <row r="490" spans="1:17" ht="28" customHeight="1" x14ac:dyDescent="0.35">
      <c r="A490" s="241"/>
      <c r="B490" s="242"/>
      <c r="C490" s="60">
        <f>PSK_AT_verzia_4_0!C490-PSK_AT_verzia_3_5!C451</f>
        <v>0</v>
      </c>
      <c r="D490" s="60">
        <f>PSK_AT_verzia_4_0!D490-PSK_AT_verzia_3_5!D451</f>
        <v>0</v>
      </c>
      <c r="E490" s="60">
        <f>PSK_AT_verzia_4_0!E490-PSK_AT_verzia_3_5!E451</f>
        <v>0</v>
      </c>
      <c r="F490" s="61" t="s">
        <v>321</v>
      </c>
      <c r="G490" s="60">
        <f>PSK_AT_verzia_4_0!G490-PSK_AT_verzia_3_5!G451</f>
        <v>1043597</v>
      </c>
      <c r="H490" s="60">
        <f>PSK_AT_verzia_4_0!H490-PSK_AT_verzia_3_5!H451</f>
        <v>1043597</v>
      </c>
      <c r="I490" s="60">
        <f>PSK_AT_verzia_4_0!I490-PSK_AT_verzia_3_5!I451</f>
        <v>0</v>
      </c>
      <c r="J490" s="60">
        <f>PSK_AT_verzia_4_0!J490-PSK_AT_verzia_3_5!J451</f>
        <v>0</v>
      </c>
      <c r="K490" s="60">
        <f>PSK_AT_verzia_4_0!K490-PSK_AT_verzia_3_5!K451</f>
        <v>0</v>
      </c>
      <c r="L490" s="60">
        <f>PSK_AT_verzia_4_0!L490-PSK_AT_verzia_3_5!L451</f>
        <v>0</v>
      </c>
      <c r="M490" s="60">
        <f>PSK_AT_verzia_4_0!M490-PSK_AT_verzia_3_5!M451</f>
        <v>0</v>
      </c>
      <c r="N490" s="60">
        <f>PSK_AT_verzia_4_0!N490-PSK_AT_verzia_3_5!N451</f>
        <v>1043597</v>
      </c>
      <c r="O490" s="60">
        <f>PSK_AT_verzia_4_0!O490-PSK_AT_verzia_3_5!O451</f>
        <v>1043597</v>
      </c>
      <c r="P490" s="60">
        <f>PSK_AT_verzia_4_0!P490-PSK_AT_verzia_3_5!P451</f>
        <v>0</v>
      </c>
      <c r="Q490" s="60">
        <f>PSK_AT_verzia_4_0!Q490-PSK_AT_verzia_3_5!Q451</f>
        <v>0</v>
      </c>
    </row>
    <row r="491" spans="1:17" ht="28" customHeight="1" x14ac:dyDescent="0.35">
      <c r="A491" s="241"/>
      <c r="B491" s="242"/>
      <c r="C491" s="200">
        <f>PSK_AT_verzia_4_0!C491-PSK_AT_verzia_3_5!C452</f>
        <v>0</v>
      </c>
      <c r="D491" s="200">
        <f>PSK_AT_verzia_4_0!D491-PSK_AT_verzia_3_5!D452</f>
        <v>0</v>
      </c>
      <c r="E491" s="200">
        <f>PSK_AT_verzia_4_0!E491-PSK_AT_verzia_3_5!E452</f>
        <v>0</v>
      </c>
      <c r="F491" s="66" t="s">
        <v>322</v>
      </c>
      <c r="G491" s="67">
        <f>PSK_AT_verzia_4_0!G491-PSK_AT_verzia_3_5!G452</f>
        <v>1043597</v>
      </c>
      <c r="H491" s="67">
        <f>PSK_AT_verzia_4_0!H491-PSK_AT_verzia_3_5!H452</f>
        <v>1043597</v>
      </c>
      <c r="I491" s="67">
        <f>PSK_AT_verzia_4_0!I491-PSK_AT_verzia_3_5!I452</f>
        <v>0</v>
      </c>
      <c r="J491" s="67">
        <f>PSK_AT_verzia_4_0!J491-PSK_AT_verzia_3_5!J452</f>
        <v>0</v>
      </c>
      <c r="K491" s="67">
        <f>PSK_AT_verzia_4_0!K491-PSK_AT_verzia_3_5!K452</f>
        <v>0</v>
      </c>
      <c r="L491" s="67">
        <f>PSK_AT_verzia_4_0!L491-PSK_AT_verzia_3_5!L452</f>
        <v>0</v>
      </c>
      <c r="M491" s="67">
        <f>PSK_AT_verzia_4_0!M491-PSK_AT_verzia_3_5!M452</f>
        <v>0</v>
      </c>
      <c r="N491" s="67">
        <f>PSK_AT_verzia_4_0!N491-PSK_AT_verzia_3_5!N452</f>
        <v>1043597</v>
      </c>
      <c r="O491" s="67">
        <f>PSK_AT_verzia_4_0!O491-PSK_AT_verzia_3_5!O452</f>
        <v>1043597</v>
      </c>
      <c r="P491" s="67">
        <f>PSK_AT_verzia_4_0!P491-PSK_AT_verzia_3_5!P452</f>
        <v>0</v>
      </c>
      <c r="Q491" s="67">
        <f>PSK_AT_verzia_4_0!Q491-PSK_AT_verzia_3_5!Q452</f>
        <v>0</v>
      </c>
    </row>
    <row r="492" spans="1:17" ht="28" customHeight="1" x14ac:dyDescent="0.35">
      <c r="A492" s="45" t="s">
        <v>768</v>
      </c>
      <c r="B492" s="46" t="s">
        <v>771</v>
      </c>
      <c r="C492" s="47">
        <f>PSK_AT_verzia_4_0!C492</f>
        <v>0</v>
      </c>
      <c r="D492" s="47">
        <f>PSK_AT_verzia_4_0!D492</f>
        <v>30000000</v>
      </c>
      <c r="E492" s="47">
        <f>PSK_AT_verzia_4_0!E492</f>
        <v>20000000</v>
      </c>
      <c r="F492" s="49"/>
      <c r="G492" s="48">
        <f>PSK_AT_verzia_4_0!G492</f>
        <v>74000000</v>
      </c>
      <c r="H492" s="48">
        <f>PSK_AT_verzia_4_0!H492</f>
        <v>68500000</v>
      </c>
      <c r="I492" s="48">
        <f>PSK_AT_verzia_4_0!I492</f>
        <v>5500000</v>
      </c>
      <c r="J492" s="48">
        <f>PSK_AT_verzia_4_0!J492</f>
        <v>74000000</v>
      </c>
      <c r="K492" s="48">
        <f>PSK_AT_verzia_4_0!K492</f>
        <v>68500000</v>
      </c>
      <c r="L492" s="48">
        <f>PSK_AT_verzia_4_0!L492</f>
        <v>5500000</v>
      </c>
      <c r="M492" s="48">
        <f>PSK_AT_verzia_4_0!M492</f>
        <v>0</v>
      </c>
      <c r="N492" s="48">
        <f>PSK_AT_verzia_4_0!N492</f>
        <v>0</v>
      </c>
      <c r="O492" s="48">
        <f>PSK_AT_verzia_4_0!O492</f>
        <v>0</v>
      </c>
      <c r="P492" s="48">
        <f>PSK_AT_verzia_4_0!P492</f>
        <v>0</v>
      </c>
      <c r="Q492" s="48">
        <f>PSK_AT_verzia_4_0!Q492</f>
        <v>0</v>
      </c>
    </row>
    <row r="493" spans="1:17" ht="28" customHeight="1" x14ac:dyDescent="0.35">
      <c r="A493" s="243" t="s">
        <v>769</v>
      </c>
      <c r="B493" s="246" t="s">
        <v>770</v>
      </c>
      <c r="C493" s="52">
        <f>PSK_AT_verzia_4_0!C493</f>
        <v>0</v>
      </c>
      <c r="D493" s="52">
        <f>PSK_AT_verzia_4_0!D493</f>
        <v>30000000</v>
      </c>
      <c r="E493" s="52">
        <f>PSK_AT_verzia_4_0!E493</f>
        <v>20000000</v>
      </c>
      <c r="F493" s="54" t="s">
        <v>772</v>
      </c>
      <c r="G493" s="52">
        <f>PSK_AT_verzia_4_0!G493</f>
        <v>74000000</v>
      </c>
      <c r="H493" s="52">
        <f>PSK_AT_verzia_4_0!H493</f>
        <v>68500000</v>
      </c>
      <c r="I493" s="52">
        <f>PSK_AT_verzia_4_0!I493</f>
        <v>5500000</v>
      </c>
      <c r="J493" s="52">
        <f>PSK_AT_verzia_4_0!J493</f>
        <v>74000000</v>
      </c>
      <c r="K493" s="52">
        <f>PSK_AT_verzia_4_0!K493</f>
        <v>68500000</v>
      </c>
      <c r="L493" s="52">
        <f>PSK_AT_verzia_4_0!L493</f>
        <v>5500000</v>
      </c>
      <c r="M493" s="52">
        <f>PSK_AT_verzia_4_0!M493</f>
        <v>0</v>
      </c>
      <c r="N493" s="52">
        <f>PSK_AT_verzia_4_0!N493</f>
        <v>0</v>
      </c>
      <c r="O493" s="52">
        <f>PSK_AT_verzia_4_0!O493</f>
        <v>0</v>
      </c>
      <c r="P493" s="52">
        <f>PSK_AT_verzia_4_0!P493</f>
        <v>0</v>
      </c>
      <c r="Q493" s="52">
        <f>PSK_AT_verzia_4_0!Q493</f>
        <v>0</v>
      </c>
    </row>
    <row r="494" spans="1:17" ht="28" customHeight="1" x14ac:dyDescent="0.35">
      <c r="A494" s="244"/>
      <c r="B494" s="247"/>
      <c r="C494" s="60">
        <f>PSK_AT_verzia_4_0!C494</f>
        <v>0</v>
      </c>
      <c r="D494" s="60">
        <f>PSK_AT_verzia_4_0!D494</f>
        <v>0</v>
      </c>
      <c r="E494" s="72">
        <f>PSK_AT_verzia_4_0!E494</f>
        <v>20000000</v>
      </c>
      <c r="F494" s="61" t="s">
        <v>321</v>
      </c>
      <c r="G494" s="60">
        <f>PSK_AT_verzia_4_0!G494</f>
        <v>44000000</v>
      </c>
      <c r="H494" s="60">
        <f>PSK_AT_verzia_4_0!H494</f>
        <v>38500000</v>
      </c>
      <c r="I494" s="60">
        <f>PSK_AT_verzia_4_0!I494</f>
        <v>5500000</v>
      </c>
      <c r="J494" s="60">
        <f>PSK_AT_verzia_4_0!J494</f>
        <v>44000000</v>
      </c>
      <c r="K494" s="60">
        <f>PSK_AT_verzia_4_0!K494</f>
        <v>38500000</v>
      </c>
      <c r="L494" s="60">
        <f>PSK_AT_verzia_4_0!L494</f>
        <v>5500000</v>
      </c>
      <c r="M494" s="60">
        <f>PSK_AT_verzia_4_0!M494</f>
        <v>0</v>
      </c>
      <c r="N494" s="60">
        <f>PSK_AT_verzia_4_0!N494</f>
        <v>0</v>
      </c>
      <c r="O494" s="60">
        <f>PSK_AT_verzia_4_0!O494</f>
        <v>0</v>
      </c>
      <c r="P494" s="60">
        <f>PSK_AT_verzia_4_0!P494</f>
        <v>0</v>
      </c>
      <c r="Q494" s="60">
        <f>PSK_AT_verzia_4_0!Q494</f>
        <v>0</v>
      </c>
    </row>
    <row r="495" spans="1:17" ht="28" customHeight="1" x14ac:dyDescent="0.35">
      <c r="A495" s="244"/>
      <c r="B495" s="247"/>
      <c r="C495" s="199">
        <f>PSK_AT_verzia_4_0!C495</f>
        <v>0</v>
      </c>
      <c r="D495" s="200">
        <f>PSK_AT_verzia_4_0!D495</f>
        <v>0</v>
      </c>
      <c r="E495" s="200">
        <f>PSK_AT_verzia_4_0!E495</f>
        <v>0</v>
      </c>
      <c r="F495" s="66" t="s">
        <v>322</v>
      </c>
      <c r="G495" s="67">
        <f>PSK_AT_verzia_4_0!G495</f>
        <v>24000000</v>
      </c>
      <c r="H495" s="67">
        <f>PSK_AT_verzia_4_0!H495</f>
        <v>21000000</v>
      </c>
      <c r="I495" s="67">
        <f>PSK_AT_verzia_4_0!I495</f>
        <v>3000000</v>
      </c>
      <c r="J495" s="67">
        <f>PSK_AT_verzia_4_0!J495</f>
        <v>24000000</v>
      </c>
      <c r="K495" s="67">
        <f>PSK_AT_verzia_4_0!K495</f>
        <v>21000000</v>
      </c>
      <c r="L495" s="67">
        <f>PSK_AT_verzia_4_0!L495</f>
        <v>3000000</v>
      </c>
      <c r="M495" s="67">
        <f>PSK_AT_verzia_4_0!M495</f>
        <v>0</v>
      </c>
      <c r="N495" s="67">
        <f>PSK_AT_verzia_4_0!N495</f>
        <v>0</v>
      </c>
      <c r="O495" s="67">
        <f>PSK_AT_verzia_4_0!O495</f>
        <v>0</v>
      </c>
      <c r="P495" s="67">
        <f>PSK_AT_verzia_4_0!P495</f>
        <v>0</v>
      </c>
      <c r="Q495" s="67">
        <f>PSK_AT_verzia_4_0!Q495</f>
        <v>0</v>
      </c>
    </row>
    <row r="496" spans="1:17" ht="28" customHeight="1" x14ac:dyDescent="0.35">
      <c r="A496" s="244"/>
      <c r="B496" s="247"/>
      <c r="C496" s="199">
        <f>PSK_AT_verzia_4_0!C496</f>
        <v>0</v>
      </c>
      <c r="D496" s="200">
        <f>PSK_AT_verzia_4_0!D496</f>
        <v>0</v>
      </c>
      <c r="E496" s="200">
        <f>PSK_AT_verzia_4_0!E496</f>
        <v>0</v>
      </c>
      <c r="F496" s="66" t="s">
        <v>338</v>
      </c>
      <c r="G496" s="74">
        <f>PSK_AT_verzia_4_0!G496</f>
        <v>20000000</v>
      </c>
      <c r="H496" s="74">
        <f>PSK_AT_verzia_4_0!H496</f>
        <v>17500000</v>
      </c>
      <c r="I496" s="74">
        <f>PSK_AT_verzia_4_0!I496</f>
        <v>2500000</v>
      </c>
      <c r="J496" s="74">
        <f>PSK_AT_verzia_4_0!J496</f>
        <v>20000000</v>
      </c>
      <c r="K496" s="74">
        <f>PSK_AT_verzia_4_0!K496</f>
        <v>17500000</v>
      </c>
      <c r="L496" s="74">
        <f>PSK_AT_verzia_4_0!L496</f>
        <v>2500000</v>
      </c>
      <c r="M496" s="74">
        <f>PSK_AT_verzia_4_0!M496</f>
        <v>0</v>
      </c>
      <c r="N496" s="74">
        <f>PSK_AT_verzia_4_0!N496</f>
        <v>0</v>
      </c>
      <c r="O496" s="74">
        <f>PSK_AT_verzia_4_0!O496</f>
        <v>0</v>
      </c>
      <c r="P496" s="74">
        <f>PSK_AT_verzia_4_0!P496</f>
        <v>0</v>
      </c>
      <c r="Q496" s="74">
        <f>PSK_AT_verzia_4_0!Q496</f>
        <v>0</v>
      </c>
    </row>
    <row r="497" spans="1:17" ht="28" customHeight="1" x14ac:dyDescent="0.35">
      <c r="A497" s="244"/>
      <c r="B497" s="247"/>
      <c r="C497" s="60">
        <f>PSK_AT_verzia_4_0!C497</f>
        <v>0</v>
      </c>
      <c r="D497" s="112">
        <f>PSK_AT_verzia_4_0!D497</f>
        <v>30000000</v>
      </c>
      <c r="E497" s="60">
        <f>PSK_AT_verzia_4_0!E497</f>
        <v>0</v>
      </c>
      <c r="F497" s="61" t="s">
        <v>186</v>
      </c>
      <c r="G497" s="60">
        <f>PSK_AT_verzia_4_0!G497</f>
        <v>30000000</v>
      </c>
      <c r="H497" s="60">
        <f>PSK_AT_verzia_4_0!H497</f>
        <v>30000000</v>
      </c>
      <c r="I497" s="60">
        <f>PSK_AT_verzia_4_0!I497</f>
        <v>0</v>
      </c>
      <c r="J497" s="60">
        <f>PSK_AT_verzia_4_0!J497</f>
        <v>30000000</v>
      </c>
      <c r="K497" s="60">
        <f>PSK_AT_verzia_4_0!K497</f>
        <v>30000000</v>
      </c>
      <c r="L497" s="60">
        <f>PSK_AT_verzia_4_0!L497</f>
        <v>0</v>
      </c>
      <c r="M497" s="60">
        <f>PSK_AT_verzia_4_0!M497</f>
        <v>0</v>
      </c>
      <c r="N497" s="60">
        <f>PSK_AT_verzia_4_0!N497</f>
        <v>0</v>
      </c>
      <c r="O497" s="60">
        <f>PSK_AT_verzia_4_0!O497</f>
        <v>0</v>
      </c>
      <c r="P497" s="60">
        <f>PSK_AT_verzia_4_0!P497</f>
        <v>0</v>
      </c>
      <c r="Q497" s="60">
        <f>PSK_AT_verzia_4_0!Q497</f>
        <v>0</v>
      </c>
    </row>
    <row r="498" spans="1:17" ht="28" customHeight="1" x14ac:dyDescent="0.35">
      <c r="A498" s="245"/>
      <c r="B498" s="248"/>
      <c r="C498" s="199">
        <f>PSK_AT_verzia_4_0!C498</f>
        <v>0</v>
      </c>
      <c r="D498" s="200">
        <f>PSK_AT_verzia_4_0!D498</f>
        <v>0</v>
      </c>
      <c r="E498" s="200">
        <f>PSK_AT_verzia_4_0!E498</f>
        <v>0</v>
      </c>
      <c r="F498" s="66" t="s">
        <v>187</v>
      </c>
      <c r="G498" s="103">
        <f>PSK_AT_verzia_4_0!G498</f>
        <v>30000000</v>
      </c>
      <c r="H498" s="103">
        <f>PSK_AT_verzia_4_0!H498</f>
        <v>30000000</v>
      </c>
      <c r="I498" s="103">
        <f>PSK_AT_verzia_4_0!I498</f>
        <v>0</v>
      </c>
      <c r="J498" s="103">
        <f>PSK_AT_verzia_4_0!J498</f>
        <v>30000000</v>
      </c>
      <c r="K498" s="103">
        <f>PSK_AT_verzia_4_0!K498</f>
        <v>30000000</v>
      </c>
      <c r="L498" s="103">
        <f>PSK_AT_verzia_4_0!L498</f>
        <v>0</v>
      </c>
      <c r="M498" s="103">
        <f>PSK_AT_verzia_4_0!M498</f>
        <v>0</v>
      </c>
      <c r="N498" s="103">
        <f>PSK_AT_verzia_4_0!N498</f>
        <v>0</v>
      </c>
      <c r="O498" s="103">
        <f>PSK_AT_verzia_4_0!O498</f>
        <v>0</v>
      </c>
      <c r="P498" s="103">
        <f>PSK_AT_verzia_4_0!P498</f>
        <v>0</v>
      </c>
      <c r="Q498" s="103">
        <f>PSK_AT_verzia_4_0!Q498</f>
        <v>0</v>
      </c>
    </row>
    <row r="499" spans="1:17" ht="52" x14ac:dyDescent="0.35">
      <c r="A499" s="45" t="s">
        <v>773</v>
      </c>
      <c r="B499" s="201" t="s">
        <v>784</v>
      </c>
      <c r="C499" s="47">
        <f>PSK_AT_verzia_4_0!C499</f>
        <v>0</v>
      </c>
      <c r="D499" s="47">
        <f>PSK_AT_verzia_4_0!D499</f>
        <v>0</v>
      </c>
      <c r="E499" s="48">
        <f>PSK_AT_verzia_4_0!E499</f>
        <v>0</v>
      </c>
      <c r="F499" s="49"/>
      <c r="G499" s="48">
        <f>PSK_AT_verzia_4_0!G499</f>
        <v>2378000</v>
      </c>
      <c r="H499" s="48">
        <f>PSK_AT_verzia_4_0!H499</f>
        <v>1428000</v>
      </c>
      <c r="I499" s="48">
        <f>PSK_AT_verzia_4_0!I499</f>
        <v>950000</v>
      </c>
      <c r="J499" s="48">
        <f>PSK_AT_verzia_4_0!J499</f>
        <v>0</v>
      </c>
      <c r="K499" s="48">
        <f>PSK_AT_verzia_4_0!K499</f>
        <v>0</v>
      </c>
      <c r="L499" s="48">
        <f>PSK_AT_verzia_4_0!L499</f>
        <v>0</v>
      </c>
      <c r="M499" s="48">
        <f>PSK_AT_verzia_4_0!M499</f>
        <v>0</v>
      </c>
      <c r="N499" s="48">
        <f>PSK_AT_verzia_4_0!N499</f>
        <v>2378000</v>
      </c>
      <c r="O499" s="48">
        <f>PSK_AT_verzia_4_0!O499</f>
        <v>1428000</v>
      </c>
      <c r="P499" s="48">
        <f>PSK_AT_verzia_4_0!P499</f>
        <v>950000</v>
      </c>
      <c r="Q499" s="48">
        <f>PSK_AT_verzia_4_0!Q499</f>
        <v>0</v>
      </c>
    </row>
    <row r="500" spans="1:17" ht="104.15" customHeight="1" x14ac:dyDescent="0.35">
      <c r="A500" s="239" t="s">
        <v>353</v>
      </c>
      <c r="B500" s="240" t="s">
        <v>354</v>
      </c>
      <c r="C500" s="52">
        <f>PSK_AT_verzia_4_0!C500</f>
        <v>0</v>
      </c>
      <c r="D500" s="52">
        <f>PSK_AT_verzia_4_0!D500</f>
        <v>0</v>
      </c>
      <c r="E500" s="53">
        <f>PSK_AT_verzia_4_0!E500</f>
        <v>0</v>
      </c>
      <c r="F500" s="54" t="s">
        <v>355</v>
      </c>
      <c r="G500" s="52">
        <f>PSK_AT_verzia_4_0!G500</f>
        <v>2378000</v>
      </c>
      <c r="H500" s="52">
        <f>PSK_AT_verzia_4_0!H500</f>
        <v>3806000</v>
      </c>
      <c r="I500" s="52">
        <f>PSK_AT_verzia_4_0!I500</f>
        <v>2378000</v>
      </c>
      <c r="J500" s="52">
        <f>PSK_AT_verzia_4_0!J500</f>
        <v>0</v>
      </c>
      <c r="K500" s="52">
        <f>PSK_AT_verzia_4_0!K500</f>
        <v>0</v>
      </c>
      <c r="L500" s="52">
        <f>PSK_AT_verzia_4_0!L500</f>
        <v>0</v>
      </c>
      <c r="M500" s="52">
        <f>PSK_AT_verzia_4_0!M500</f>
        <v>0</v>
      </c>
      <c r="N500" s="52">
        <f>PSK_AT_verzia_4_0!N500</f>
        <v>2378000</v>
      </c>
      <c r="O500" s="52">
        <f>PSK_AT_verzia_4_0!O500</f>
        <v>1428000</v>
      </c>
      <c r="P500" s="52">
        <f>PSK_AT_verzia_4_0!P500</f>
        <v>950000</v>
      </c>
      <c r="Q500" s="52">
        <f>PSK_AT_verzia_4_0!Q500</f>
        <v>0</v>
      </c>
    </row>
    <row r="501" spans="1:17" ht="28" customHeight="1" x14ac:dyDescent="0.35">
      <c r="A501" s="239"/>
      <c r="B501" s="240"/>
      <c r="C501" s="60">
        <f>PSK_AT_verzia_4_0!C501</f>
        <v>0</v>
      </c>
      <c r="D501" s="60">
        <f>PSK_AT_verzia_4_0!D501</f>
        <v>0</v>
      </c>
      <c r="E501" s="60">
        <f>PSK_AT_verzia_4_0!E501</f>
        <v>0</v>
      </c>
      <c r="F501" s="61" t="s">
        <v>49</v>
      </c>
      <c r="G501" s="60">
        <f>PSK_AT_verzia_4_0!G501</f>
        <v>2378000</v>
      </c>
      <c r="H501" s="60">
        <f>PSK_AT_verzia_4_0!H501</f>
        <v>3806000</v>
      </c>
      <c r="I501" s="60">
        <f>PSK_AT_verzia_4_0!I501</f>
        <v>2378000</v>
      </c>
      <c r="J501" s="60">
        <f>PSK_AT_verzia_4_0!J501</f>
        <v>0</v>
      </c>
      <c r="K501" s="60">
        <f>PSK_AT_verzia_4_0!K501</f>
        <v>0</v>
      </c>
      <c r="L501" s="60">
        <f>PSK_AT_verzia_4_0!L501</f>
        <v>0</v>
      </c>
      <c r="M501" s="60">
        <f>PSK_AT_verzia_4_0!M501</f>
        <v>0</v>
      </c>
      <c r="N501" s="60">
        <f>PSK_AT_verzia_4_0!N501</f>
        <v>2378000</v>
      </c>
      <c r="O501" s="60">
        <f>PSK_AT_verzia_4_0!O501</f>
        <v>1428000</v>
      </c>
      <c r="P501" s="60">
        <f>PSK_AT_verzia_4_0!P501</f>
        <v>950000</v>
      </c>
      <c r="Q501" s="60">
        <f>PSK_AT_verzia_4_0!Q501</f>
        <v>0</v>
      </c>
    </row>
    <row r="502" spans="1:17" ht="28" customHeight="1" x14ac:dyDescent="0.35">
      <c r="A502" s="239"/>
      <c r="B502" s="240"/>
      <c r="C502" s="199">
        <f>PSK_AT_verzia_4_0!C502</f>
        <v>0</v>
      </c>
      <c r="D502" s="200">
        <f>PSK_AT_verzia_4_0!D502</f>
        <v>0</v>
      </c>
      <c r="E502" s="200">
        <f>PSK_AT_verzia_4_0!E502</f>
        <v>0</v>
      </c>
      <c r="F502" s="66" t="s">
        <v>50</v>
      </c>
      <c r="G502" s="67">
        <f>PSK_AT_verzia_4_0!G502</f>
        <v>2378000</v>
      </c>
      <c r="H502" s="67">
        <f>PSK_AT_verzia_4_0!H502</f>
        <v>3806000</v>
      </c>
      <c r="I502" s="67">
        <f>PSK_AT_verzia_4_0!I502</f>
        <v>2378000</v>
      </c>
      <c r="J502" s="67">
        <f>PSK_AT_verzia_4_0!J502</f>
        <v>0</v>
      </c>
      <c r="K502" s="67">
        <f>PSK_AT_verzia_4_0!K502</f>
        <v>0</v>
      </c>
      <c r="L502" s="67">
        <f>PSK_AT_verzia_4_0!L502</f>
        <v>0</v>
      </c>
      <c r="M502" s="67">
        <f>PSK_AT_verzia_4_0!M502</f>
        <v>0</v>
      </c>
      <c r="N502" s="67">
        <f>PSK_AT_verzia_4_0!N502</f>
        <v>2378000</v>
      </c>
      <c r="O502" s="67">
        <f>PSK_AT_verzia_4_0!O502</f>
        <v>1428000</v>
      </c>
      <c r="P502" s="67">
        <f>PSK_AT_verzia_4_0!P502</f>
        <v>950000</v>
      </c>
      <c r="Q502" s="67">
        <f>PSK_AT_verzia_4_0!Q502</f>
        <v>0</v>
      </c>
    </row>
    <row r="503" spans="1:17" s="111" customFormat="1" ht="78" x14ac:dyDescent="0.35">
      <c r="A503" s="39" t="s">
        <v>397</v>
      </c>
      <c r="B503" s="40" t="s">
        <v>398</v>
      </c>
      <c r="C503" s="41">
        <f>PSK_AT_verzia_4_0!C503-PSK_AT_verzia_3_5!C453</f>
        <v>42241885</v>
      </c>
      <c r="D503" s="41">
        <f>PSK_AT_verzia_4_0!D503-PSK_AT_verzia_3_5!D453</f>
        <v>0</v>
      </c>
      <c r="E503" s="41">
        <f>PSK_AT_verzia_4_0!E503-PSK_AT_verzia_3_5!E453</f>
        <v>0</v>
      </c>
      <c r="F503" s="43"/>
      <c r="G503" s="42">
        <f>PSK_AT_verzia_4_0!G503-PSK_AT_verzia_3_5!G453</f>
        <v>42241885</v>
      </c>
      <c r="H503" s="42">
        <f>PSK_AT_verzia_4_0!H503-PSK_AT_verzia_3_5!H453</f>
        <v>40393814</v>
      </c>
      <c r="I503" s="42">
        <f>PSK_AT_verzia_4_0!I503-PSK_AT_verzia_3_5!I453</f>
        <v>1848071</v>
      </c>
      <c r="J503" s="42">
        <f>PSK_AT_verzia_4_0!J503-PSK_AT_verzia_3_5!J453</f>
        <v>42241885</v>
      </c>
      <c r="K503" s="42">
        <f>PSK_AT_verzia_4_0!K503-PSK_AT_verzia_3_5!K453</f>
        <v>40393814</v>
      </c>
      <c r="L503" s="42">
        <f>PSK_AT_verzia_4_0!L503-PSK_AT_verzia_3_5!L453</f>
        <v>1848071</v>
      </c>
      <c r="M503" s="42">
        <f>PSK_AT_verzia_4_0!M503-PSK_AT_verzia_3_5!M453</f>
        <v>0</v>
      </c>
      <c r="N503" s="42">
        <f>PSK_AT_verzia_4_0!N503-PSK_AT_verzia_3_5!N453</f>
        <v>0</v>
      </c>
      <c r="O503" s="42">
        <f>PSK_AT_verzia_4_0!O503-PSK_AT_verzia_3_5!O453</f>
        <v>0</v>
      </c>
      <c r="P503" s="42">
        <f>PSK_AT_verzia_4_0!P503-PSK_AT_verzia_3_5!P453</f>
        <v>0</v>
      </c>
      <c r="Q503" s="42">
        <f>PSK_AT_verzia_4_0!Q503-PSK_AT_verzia_3_5!Q453</f>
        <v>0</v>
      </c>
    </row>
    <row r="504" spans="1:17" s="111" customFormat="1" ht="28.5" x14ac:dyDescent="0.35">
      <c r="A504" s="45" t="s">
        <v>399</v>
      </c>
      <c r="B504" s="46" t="s">
        <v>400</v>
      </c>
      <c r="C504" s="47">
        <f>PSK_AT_verzia_4_0!C504-PSK_AT_verzia_3_5!C454</f>
        <v>-2345392</v>
      </c>
      <c r="D504" s="47">
        <f>PSK_AT_verzia_4_0!D504-PSK_AT_verzia_3_5!D454</f>
        <v>0</v>
      </c>
      <c r="E504" s="47">
        <f>PSK_AT_verzia_4_0!E504-PSK_AT_verzia_3_5!E454</f>
        <v>0</v>
      </c>
      <c r="F504" s="49"/>
      <c r="G504" s="48">
        <f>PSK_AT_verzia_4_0!G504-PSK_AT_verzia_3_5!G454</f>
        <v>-2345392</v>
      </c>
      <c r="H504" s="48">
        <f>PSK_AT_verzia_4_0!H504-PSK_AT_verzia_3_5!H454</f>
        <v>-2345392</v>
      </c>
      <c r="I504" s="48">
        <f>PSK_AT_verzia_4_0!I504-PSK_AT_verzia_3_5!I454</f>
        <v>0</v>
      </c>
      <c r="J504" s="48">
        <f>PSK_AT_verzia_4_0!J504-PSK_AT_verzia_3_5!J454</f>
        <v>-2345392</v>
      </c>
      <c r="K504" s="48">
        <f>PSK_AT_verzia_4_0!K504-PSK_AT_verzia_3_5!K454</f>
        <v>-2345392</v>
      </c>
      <c r="L504" s="48">
        <f>PSK_AT_verzia_4_0!L504-PSK_AT_verzia_3_5!L454</f>
        <v>0</v>
      </c>
      <c r="M504" s="48">
        <f>PSK_AT_verzia_4_0!M504-PSK_AT_verzia_3_5!M454</f>
        <v>0</v>
      </c>
      <c r="N504" s="48">
        <f>PSK_AT_verzia_4_0!N504-PSK_AT_verzia_3_5!N454</f>
        <v>0</v>
      </c>
      <c r="O504" s="48">
        <f>PSK_AT_verzia_4_0!O504-PSK_AT_verzia_3_5!O454</f>
        <v>0</v>
      </c>
      <c r="P504" s="48">
        <f>PSK_AT_verzia_4_0!P504-PSK_AT_verzia_3_5!P454</f>
        <v>0</v>
      </c>
      <c r="Q504" s="48">
        <f>PSK_AT_verzia_4_0!Q504-PSK_AT_verzia_3_5!Q454</f>
        <v>0</v>
      </c>
    </row>
    <row r="505" spans="1:17" s="111" customFormat="1" ht="104" x14ac:dyDescent="0.35">
      <c r="A505" s="87" t="s">
        <v>401</v>
      </c>
      <c r="B505" s="88" t="s">
        <v>402</v>
      </c>
      <c r="C505" s="52">
        <f>PSK_AT_verzia_4_0!C505-PSK_AT_verzia_3_5!C455</f>
        <v>6405000</v>
      </c>
      <c r="D505" s="52">
        <f>PSK_AT_verzia_4_0!D505-PSK_AT_verzia_3_5!D455</f>
        <v>0</v>
      </c>
      <c r="E505" s="52">
        <f>PSK_AT_verzia_4_0!E505-PSK_AT_verzia_3_5!E455</f>
        <v>0</v>
      </c>
      <c r="F505" s="54" t="s">
        <v>403</v>
      </c>
      <c r="G505" s="52">
        <f>PSK_AT_verzia_4_0!G505-PSK_AT_verzia_3_5!G455</f>
        <v>6405000</v>
      </c>
      <c r="H505" s="52">
        <f>PSK_AT_verzia_4_0!H505-PSK_AT_verzia_3_5!H455</f>
        <v>6405000</v>
      </c>
      <c r="I505" s="52">
        <f>PSK_AT_verzia_4_0!I505-PSK_AT_verzia_3_5!I455</f>
        <v>0</v>
      </c>
      <c r="J505" s="52">
        <f>PSK_AT_verzia_4_0!J505-PSK_AT_verzia_3_5!J455</f>
        <v>6405000</v>
      </c>
      <c r="K505" s="52">
        <f>PSK_AT_verzia_4_0!K505-PSK_AT_verzia_3_5!K455</f>
        <v>6405000</v>
      </c>
      <c r="L505" s="52">
        <f>PSK_AT_verzia_4_0!L505-PSK_AT_verzia_3_5!L455</f>
        <v>0</v>
      </c>
      <c r="M505" s="52">
        <f>PSK_AT_verzia_4_0!M505-PSK_AT_verzia_3_5!M455</f>
        <v>0</v>
      </c>
      <c r="N505" s="52">
        <f>PSK_AT_verzia_4_0!N505-PSK_AT_verzia_3_5!N455</f>
        <v>0</v>
      </c>
      <c r="O505" s="52">
        <f>PSK_AT_verzia_4_0!O505-PSK_AT_verzia_3_5!O455</f>
        <v>0</v>
      </c>
      <c r="P505" s="52">
        <f>PSK_AT_verzia_4_0!P505-PSK_AT_verzia_3_5!P455</f>
        <v>0</v>
      </c>
      <c r="Q505" s="52">
        <f>PSK_AT_verzia_4_0!Q505-PSK_AT_verzia_3_5!Q455</f>
        <v>0</v>
      </c>
    </row>
    <row r="506" spans="1:17" s="111" customFormat="1" ht="28.5" x14ac:dyDescent="0.35">
      <c r="A506" s="234" t="s">
        <v>404</v>
      </c>
      <c r="B506" s="235" t="s">
        <v>405</v>
      </c>
      <c r="C506" s="57">
        <f>PSK_AT_verzia_4_0!C506-PSK_AT_verzia_3_5!C456</f>
        <v>-1673765</v>
      </c>
      <c r="D506" s="57">
        <f>PSK_AT_verzia_4_0!D506-PSK_AT_verzia_3_5!D456</f>
        <v>0</v>
      </c>
      <c r="E506" s="57">
        <f>PSK_AT_verzia_4_0!E506-PSK_AT_verzia_3_5!E456</f>
        <v>0</v>
      </c>
      <c r="F506" s="59" t="s">
        <v>406</v>
      </c>
      <c r="G506" s="58">
        <f>PSK_AT_verzia_4_0!G506-PSK_AT_verzia_3_5!G456</f>
        <v>-1673765</v>
      </c>
      <c r="H506" s="58">
        <f>PSK_AT_verzia_4_0!H506-PSK_AT_verzia_3_5!H456</f>
        <v>-1673765</v>
      </c>
      <c r="I506" s="58">
        <f>PSK_AT_verzia_4_0!I506-PSK_AT_verzia_3_5!I456</f>
        <v>0</v>
      </c>
      <c r="J506" s="58">
        <f>PSK_AT_verzia_4_0!J506-PSK_AT_verzia_3_5!J456</f>
        <v>-1673765</v>
      </c>
      <c r="K506" s="58">
        <f>PSK_AT_verzia_4_0!K506-PSK_AT_verzia_3_5!K456</f>
        <v>-1673765</v>
      </c>
      <c r="L506" s="58">
        <f>PSK_AT_verzia_4_0!L506-PSK_AT_verzia_3_5!L456</f>
        <v>0</v>
      </c>
      <c r="M506" s="58">
        <f>PSK_AT_verzia_4_0!M506-PSK_AT_verzia_3_5!M456</f>
        <v>0</v>
      </c>
      <c r="N506" s="58">
        <f>PSK_AT_verzia_4_0!N506-PSK_AT_verzia_3_5!N456</f>
        <v>0</v>
      </c>
      <c r="O506" s="58">
        <f>PSK_AT_verzia_4_0!O506-PSK_AT_verzia_3_5!O456</f>
        <v>0</v>
      </c>
      <c r="P506" s="58">
        <f>PSK_AT_verzia_4_0!P506-PSK_AT_verzia_3_5!P456</f>
        <v>0</v>
      </c>
      <c r="Q506" s="58">
        <f>PSK_AT_verzia_4_0!Q506-PSK_AT_verzia_3_5!Q456</f>
        <v>0</v>
      </c>
    </row>
    <row r="507" spans="1:17" ht="28" customHeight="1" x14ac:dyDescent="0.35">
      <c r="A507" s="234"/>
      <c r="B507" s="235"/>
      <c r="C507" s="60">
        <f>PSK_AT_verzia_4_0!C507-PSK_AT_verzia_3_5!C457</f>
        <v>-1673765</v>
      </c>
      <c r="D507" s="60">
        <f>PSK_AT_verzia_4_0!D507-PSK_AT_verzia_3_5!D457</f>
        <v>0</v>
      </c>
      <c r="E507" s="60">
        <f>PSK_AT_verzia_4_0!E507-PSK_AT_verzia_3_5!E457</f>
        <v>0</v>
      </c>
      <c r="F507" s="61" t="s">
        <v>36</v>
      </c>
      <c r="G507" s="60">
        <f>PSK_AT_verzia_4_0!G507-PSK_AT_verzia_3_5!G457</f>
        <v>-1673765</v>
      </c>
      <c r="H507" s="60">
        <f>PSK_AT_verzia_4_0!H507-PSK_AT_verzia_3_5!H457</f>
        <v>-1673765</v>
      </c>
      <c r="I507" s="60">
        <f>PSK_AT_verzia_4_0!I507-PSK_AT_verzia_3_5!I457</f>
        <v>0</v>
      </c>
      <c r="J507" s="60">
        <f>PSK_AT_verzia_4_0!J507-PSK_AT_verzia_3_5!J457</f>
        <v>-1673765</v>
      </c>
      <c r="K507" s="60">
        <f>PSK_AT_verzia_4_0!K507-PSK_AT_verzia_3_5!K457</f>
        <v>-1673765</v>
      </c>
      <c r="L507" s="60">
        <f>PSK_AT_verzia_4_0!L507-PSK_AT_verzia_3_5!L457</f>
        <v>0</v>
      </c>
      <c r="M507" s="60">
        <f>PSK_AT_verzia_4_0!M507-PSK_AT_verzia_3_5!M457</f>
        <v>0</v>
      </c>
      <c r="N507" s="60">
        <f>PSK_AT_verzia_4_0!N507-PSK_AT_verzia_3_5!N457</f>
        <v>0</v>
      </c>
      <c r="O507" s="60">
        <f>PSK_AT_verzia_4_0!O507-PSK_AT_verzia_3_5!O457</f>
        <v>0</v>
      </c>
      <c r="P507" s="60">
        <f>PSK_AT_verzia_4_0!P507-PSK_AT_verzia_3_5!P457</f>
        <v>0</v>
      </c>
      <c r="Q507" s="60">
        <f>PSK_AT_verzia_4_0!Q507-PSK_AT_verzia_3_5!Q457</f>
        <v>0</v>
      </c>
    </row>
    <row r="508" spans="1:17" ht="28" customHeight="1" x14ac:dyDescent="0.35">
      <c r="A508" s="234"/>
      <c r="B508" s="235"/>
      <c r="C508" s="200">
        <f>PSK_AT_verzia_4_0!C508-PSK_AT_verzia_3_5!C458</f>
        <v>0</v>
      </c>
      <c r="D508" s="200">
        <f>PSK_AT_verzia_4_0!D508-PSK_AT_verzia_3_5!D458</f>
        <v>0</v>
      </c>
      <c r="E508" s="200">
        <f>PSK_AT_verzia_4_0!E508-PSK_AT_verzia_3_5!E458</f>
        <v>0</v>
      </c>
      <c r="F508" s="66" t="s">
        <v>37</v>
      </c>
      <c r="G508" s="67">
        <f>PSK_AT_verzia_4_0!G508-PSK_AT_verzia_3_5!G458</f>
        <v>0</v>
      </c>
      <c r="H508" s="67">
        <f>PSK_AT_verzia_4_0!H508-PSK_AT_verzia_3_5!H458</f>
        <v>0</v>
      </c>
      <c r="I508" s="67">
        <f>PSK_AT_verzia_4_0!I508-PSK_AT_verzia_3_5!I458</f>
        <v>0</v>
      </c>
      <c r="J508" s="67">
        <f>PSK_AT_verzia_4_0!J508-PSK_AT_verzia_3_5!J458</f>
        <v>0</v>
      </c>
      <c r="K508" s="67">
        <f>PSK_AT_verzia_4_0!K508-PSK_AT_verzia_3_5!K458</f>
        <v>0</v>
      </c>
      <c r="L508" s="67">
        <f>PSK_AT_verzia_4_0!L508-PSK_AT_verzia_3_5!L458</f>
        <v>0</v>
      </c>
      <c r="M508" s="67">
        <f>PSK_AT_verzia_4_0!M508-PSK_AT_verzia_3_5!M458</f>
        <v>0</v>
      </c>
      <c r="N508" s="67">
        <f>PSK_AT_verzia_4_0!N508-PSK_AT_verzia_3_5!N458</f>
        <v>0</v>
      </c>
      <c r="O508" s="67">
        <f>PSK_AT_verzia_4_0!O508-PSK_AT_verzia_3_5!O458</f>
        <v>0</v>
      </c>
      <c r="P508" s="67">
        <f>PSK_AT_verzia_4_0!P508-PSK_AT_verzia_3_5!P458</f>
        <v>0</v>
      </c>
      <c r="Q508" s="67">
        <f>PSK_AT_verzia_4_0!Q508-PSK_AT_verzia_3_5!Q458</f>
        <v>0</v>
      </c>
    </row>
    <row r="509" spans="1:17" ht="28" customHeight="1" x14ac:dyDescent="0.35">
      <c r="A509" s="234"/>
      <c r="B509" s="235"/>
      <c r="C509" s="200">
        <f>PSK_AT_verzia_4_0!C509-PSK_AT_verzia_3_5!C459</f>
        <v>0</v>
      </c>
      <c r="D509" s="200">
        <f>PSK_AT_verzia_4_0!D509-PSK_AT_verzia_3_5!D459</f>
        <v>0</v>
      </c>
      <c r="E509" s="200">
        <f>PSK_AT_verzia_4_0!E509-PSK_AT_verzia_3_5!E459</f>
        <v>0</v>
      </c>
      <c r="F509" s="66" t="s">
        <v>38</v>
      </c>
      <c r="G509" s="71">
        <f>PSK_AT_verzia_4_0!G509-PSK_AT_verzia_3_5!G459</f>
        <v>0</v>
      </c>
      <c r="H509" s="71">
        <f>PSK_AT_verzia_4_0!H509-PSK_AT_verzia_3_5!H459</f>
        <v>0</v>
      </c>
      <c r="I509" s="71">
        <f>PSK_AT_verzia_4_0!I509-PSK_AT_verzia_3_5!I459</f>
        <v>0</v>
      </c>
      <c r="J509" s="71">
        <f>PSK_AT_verzia_4_0!J509-PSK_AT_verzia_3_5!J459</f>
        <v>0</v>
      </c>
      <c r="K509" s="71">
        <f>PSK_AT_verzia_4_0!K509-PSK_AT_verzia_3_5!K459</f>
        <v>0</v>
      </c>
      <c r="L509" s="71">
        <f>PSK_AT_verzia_4_0!L509-PSK_AT_verzia_3_5!L459</f>
        <v>0</v>
      </c>
      <c r="M509" s="71">
        <f>PSK_AT_verzia_4_0!M509-PSK_AT_verzia_3_5!M459</f>
        <v>0</v>
      </c>
      <c r="N509" s="71">
        <f>PSK_AT_verzia_4_0!N509-PSK_AT_verzia_3_5!N459</f>
        <v>0</v>
      </c>
      <c r="O509" s="71">
        <f>PSK_AT_verzia_4_0!O509-PSK_AT_verzia_3_5!O459</f>
        <v>0</v>
      </c>
      <c r="P509" s="71">
        <f>PSK_AT_verzia_4_0!P509-PSK_AT_verzia_3_5!P459</f>
        <v>0</v>
      </c>
      <c r="Q509" s="71">
        <f>PSK_AT_verzia_4_0!Q509-PSK_AT_verzia_3_5!Q459</f>
        <v>0</v>
      </c>
    </row>
    <row r="510" spans="1:17" ht="28" customHeight="1" x14ac:dyDescent="0.35">
      <c r="A510" s="234"/>
      <c r="B510" s="235"/>
      <c r="C510" s="200">
        <f>PSK_AT_verzia_4_0!C510-PSK_AT_verzia_3_5!C460</f>
        <v>0</v>
      </c>
      <c r="D510" s="200">
        <f>PSK_AT_verzia_4_0!D510-PSK_AT_verzia_3_5!D460</f>
        <v>0</v>
      </c>
      <c r="E510" s="200">
        <f>PSK_AT_verzia_4_0!E510-PSK_AT_verzia_3_5!E460</f>
        <v>0</v>
      </c>
      <c r="F510" s="66" t="s">
        <v>39</v>
      </c>
      <c r="G510" s="71">
        <f>PSK_AT_verzia_4_0!G510-PSK_AT_verzia_3_5!G460</f>
        <v>-1673765</v>
      </c>
      <c r="H510" s="71">
        <f>PSK_AT_verzia_4_0!H510-PSK_AT_verzia_3_5!H460</f>
        <v>-1673765</v>
      </c>
      <c r="I510" s="71">
        <f>PSK_AT_verzia_4_0!I510-PSK_AT_verzia_3_5!I460</f>
        <v>0</v>
      </c>
      <c r="J510" s="71">
        <f>PSK_AT_verzia_4_0!J510-PSK_AT_verzia_3_5!J460</f>
        <v>-1673765</v>
      </c>
      <c r="K510" s="71">
        <f>PSK_AT_verzia_4_0!K510-PSK_AT_verzia_3_5!K460</f>
        <v>-1673765</v>
      </c>
      <c r="L510" s="71">
        <f>PSK_AT_verzia_4_0!L510-PSK_AT_verzia_3_5!L460</f>
        <v>0</v>
      </c>
      <c r="M510" s="71">
        <f>PSK_AT_verzia_4_0!M510-PSK_AT_verzia_3_5!M460</f>
        <v>0</v>
      </c>
      <c r="N510" s="71">
        <f>PSK_AT_verzia_4_0!N510-PSK_AT_verzia_3_5!N460</f>
        <v>0</v>
      </c>
      <c r="O510" s="71">
        <f>PSK_AT_verzia_4_0!O510-PSK_AT_verzia_3_5!O460</f>
        <v>0</v>
      </c>
      <c r="P510" s="71">
        <f>PSK_AT_verzia_4_0!P510-PSK_AT_verzia_3_5!P460</f>
        <v>0</v>
      </c>
      <c r="Q510" s="71">
        <f>PSK_AT_verzia_4_0!Q510-PSK_AT_verzia_3_5!Q460</f>
        <v>0</v>
      </c>
    </row>
    <row r="511" spans="1:17" ht="93.75" customHeight="1" x14ac:dyDescent="0.35">
      <c r="A511" s="234" t="s">
        <v>407</v>
      </c>
      <c r="B511" s="235" t="s">
        <v>408</v>
      </c>
      <c r="C511" s="57">
        <f>PSK_AT_verzia_4_0!C511-PSK_AT_verzia_3_5!C461</f>
        <v>-1804243</v>
      </c>
      <c r="D511" s="57">
        <f>PSK_AT_verzia_4_0!D511-PSK_AT_verzia_3_5!D461</f>
        <v>0</v>
      </c>
      <c r="E511" s="57">
        <f>PSK_AT_verzia_4_0!E511-PSK_AT_verzia_3_5!E461</f>
        <v>0</v>
      </c>
      <c r="F511" s="59" t="s">
        <v>409</v>
      </c>
      <c r="G511" s="58">
        <f>PSK_AT_verzia_4_0!G511-PSK_AT_verzia_3_5!G461</f>
        <v>-1804243</v>
      </c>
      <c r="H511" s="58">
        <f>PSK_AT_verzia_4_0!H511-PSK_AT_verzia_3_5!H461</f>
        <v>-1804243</v>
      </c>
      <c r="I511" s="58">
        <f>PSK_AT_verzia_4_0!I511-PSK_AT_verzia_3_5!I461</f>
        <v>0</v>
      </c>
      <c r="J511" s="58">
        <f>PSK_AT_verzia_4_0!J511-PSK_AT_verzia_3_5!J461</f>
        <v>-1804243</v>
      </c>
      <c r="K511" s="58">
        <f>PSK_AT_verzia_4_0!K511-PSK_AT_verzia_3_5!K461</f>
        <v>-1804243</v>
      </c>
      <c r="L511" s="58">
        <f>PSK_AT_verzia_4_0!L511-PSK_AT_verzia_3_5!L461</f>
        <v>0</v>
      </c>
      <c r="M511" s="58">
        <f>PSK_AT_verzia_4_0!M511-PSK_AT_verzia_3_5!M461</f>
        <v>0</v>
      </c>
      <c r="N511" s="58">
        <f>PSK_AT_verzia_4_0!N511-PSK_AT_verzia_3_5!N461</f>
        <v>0</v>
      </c>
      <c r="O511" s="58">
        <f>PSK_AT_verzia_4_0!O511-PSK_AT_verzia_3_5!O461</f>
        <v>0</v>
      </c>
      <c r="P511" s="58">
        <f>PSK_AT_verzia_4_0!P511-PSK_AT_verzia_3_5!P461</f>
        <v>0</v>
      </c>
      <c r="Q511" s="58">
        <f>PSK_AT_verzia_4_0!Q511-PSK_AT_verzia_3_5!Q461</f>
        <v>0</v>
      </c>
    </row>
    <row r="512" spans="1:17" ht="28" customHeight="1" x14ac:dyDescent="0.35">
      <c r="A512" s="234"/>
      <c r="B512" s="235"/>
      <c r="C512" s="60">
        <f>PSK_AT_verzia_4_0!C512-PSK_AT_verzia_3_5!C462</f>
        <v>-1804243</v>
      </c>
      <c r="D512" s="60">
        <f>PSK_AT_verzia_4_0!D512-PSK_AT_verzia_3_5!D462</f>
        <v>0</v>
      </c>
      <c r="E512" s="60">
        <f>PSK_AT_verzia_4_0!E512-PSK_AT_verzia_3_5!E462</f>
        <v>0</v>
      </c>
      <c r="F512" s="61" t="s">
        <v>36</v>
      </c>
      <c r="G512" s="60">
        <f>PSK_AT_verzia_4_0!G512-PSK_AT_verzia_3_5!G462</f>
        <v>-1804243</v>
      </c>
      <c r="H512" s="60">
        <f>PSK_AT_verzia_4_0!H512-PSK_AT_verzia_3_5!H462</f>
        <v>-1804243</v>
      </c>
      <c r="I512" s="60">
        <f>PSK_AT_verzia_4_0!I512-PSK_AT_verzia_3_5!I462</f>
        <v>0</v>
      </c>
      <c r="J512" s="60">
        <f>PSK_AT_verzia_4_0!J512-PSK_AT_verzia_3_5!J462</f>
        <v>-1804243</v>
      </c>
      <c r="K512" s="60">
        <f>PSK_AT_verzia_4_0!K512-PSK_AT_verzia_3_5!K462</f>
        <v>-1804243</v>
      </c>
      <c r="L512" s="60">
        <f>PSK_AT_verzia_4_0!L512-PSK_AT_verzia_3_5!L462</f>
        <v>0</v>
      </c>
      <c r="M512" s="60">
        <f>PSK_AT_verzia_4_0!M512-PSK_AT_verzia_3_5!M462</f>
        <v>0</v>
      </c>
      <c r="N512" s="60">
        <f>PSK_AT_verzia_4_0!N512-PSK_AT_verzia_3_5!N462</f>
        <v>0</v>
      </c>
      <c r="O512" s="60">
        <f>PSK_AT_verzia_4_0!O512-PSK_AT_verzia_3_5!O462</f>
        <v>0</v>
      </c>
      <c r="P512" s="60">
        <f>PSK_AT_verzia_4_0!P512-PSK_AT_verzia_3_5!P462</f>
        <v>0</v>
      </c>
      <c r="Q512" s="60">
        <f>PSK_AT_verzia_4_0!Q512-PSK_AT_verzia_3_5!Q462</f>
        <v>0</v>
      </c>
    </row>
    <row r="513" spans="1:17" ht="28" customHeight="1" x14ac:dyDescent="0.35">
      <c r="A513" s="234"/>
      <c r="B513" s="235"/>
      <c r="C513" s="200">
        <f>PSK_AT_verzia_4_0!C513-PSK_AT_verzia_3_5!C463</f>
        <v>0</v>
      </c>
      <c r="D513" s="200">
        <f>PSK_AT_verzia_4_0!D513-PSK_AT_verzia_3_5!D463</f>
        <v>0</v>
      </c>
      <c r="E513" s="200">
        <f>PSK_AT_verzia_4_0!E513-PSK_AT_verzia_3_5!E463</f>
        <v>0</v>
      </c>
      <c r="F513" s="66" t="s">
        <v>37</v>
      </c>
      <c r="G513" s="67">
        <f>PSK_AT_verzia_4_0!G513-PSK_AT_verzia_3_5!G463</f>
        <v>0</v>
      </c>
      <c r="H513" s="67">
        <f>PSK_AT_verzia_4_0!H513-PSK_AT_verzia_3_5!H463</f>
        <v>0</v>
      </c>
      <c r="I513" s="67">
        <f>PSK_AT_verzia_4_0!I513-PSK_AT_verzia_3_5!I463</f>
        <v>0</v>
      </c>
      <c r="J513" s="67">
        <f>PSK_AT_verzia_4_0!J513-PSK_AT_verzia_3_5!J463</f>
        <v>0</v>
      </c>
      <c r="K513" s="67">
        <f>PSK_AT_verzia_4_0!K513-PSK_AT_verzia_3_5!K463</f>
        <v>0</v>
      </c>
      <c r="L513" s="67">
        <f>PSK_AT_verzia_4_0!L513-PSK_AT_verzia_3_5!L463</f>
        <v>0</v>
      </c>
      <c r="M513" s="67">
        <f>PSK_AT_verzia_4_0!M513-PSK_AT_verzia_3_5!M463</f>
        <v>0</v>
      </c>
      <c r="N513" s="67">
        <f>PSK_AT_verzia_4_0!N513-PSK_AT_verzia_3_5!N463</f>
        <v>0</v>
      </c>
      <c r="O513" s="67">
        <f>PSK_AT_verzia_4_0!O513-PSK_AT_verzia_3_5!O463</f>
        <v>0</v>
      </c>
      <c r="P513" s="67">
        <f>PSK_AT_verzia_4_0!P513-PSK_AT_verzia_3_5!P463</f>
        <v>0</v>
      </c>
      <c r="Q513" s="67">
        <f>PSK_AT_verzia_4_0!Q513-PSK_AT_verzia_3_5!Q463</f>
        <v>0</v>
      </c>
    </row>
    <row r="514" spans="1:17" ht="28" customHeight="1" x14ac:dyDescent="0.35">
      <c r="A514" s="234"/>
      <c r="B514" s="235"/>
      <c r="C514" s="200">
        <f>PSK_AT_verzia_4_0!C514-PSK_AT_verzia_3_5!C464</f>
        <v>0</v>
      </c>
      <c r="D514" s="200">
        <f>PSK_AT_verzia_4_0!D514-PSK_AT_verzia_3_5!D464</f>
        <v>0</v>
      </c>
      <c r="E514" s="200">
        <f>PSK_AT_verzia_4_0!E514-PSK_AT_verzia_3_5!E464</f>
        <v>0</v>
      </c>
      <c r="F514" s="66" t="s">
        <v>38</v>
      </c>
      <c r="G514" s="71">
        <f>PSK_AT_verzia_4_0!G514-PSK_AT_verzia_3_5!G464</f>
        <v>0</v>
      </c>
      <c r="H514" s="71">
        <f>PSK_AT_verzia_4_0!H514-PSK_AT_verzia_3_5!H464</f>
        <v>0</v>
      </c>
      <c r="I514" s="71">
        <f>PSK_AT_verzia_4_0!I514-PSK_AT_verzia_3_5!I464</f>
        <v>0</v>
      </c>
      <c r="J514" s="71">
        <f>PSK_AT_verzia_4_0!J514-PSK_AT_verzia_3_5!J464</f>
        <v>0</v>
      </c>
      <c r="K514" s="71">
        <f>PSK_AT_verzia_4_0!K514-PSK_AT_verzia_3_5!K464</f>
        <v>0</v>
      </c>
      <c r="L514" s="71">
        <f>PSK_AT_verzia_4_0!L514-PSK_AT_verzia_3_5!L464</f>
        <v>0</v>
      </c>
      <c r="M514" s="71">
        <f>PSK_AT_verzia_4_0!M514-PSK_AT_verzia_3_5!M464</f>
        <v>0</v>
      </c>
      <c r="N514" s="71">
        <f>PSK_AT_verzia_4_0!N514-PSK_AT_verzia_3_5!N464</f>
        <v>0</v>
      </c>
      <c r="O514" s="71">
        <f>PSK_AT_verzia_4_0!O514-PSK_AT_verzia_3_5!O464</f>
        <v>0</v>
      </c>
      <c r="P514" s="71">
        <f>PSK_AT_verzia_4_0!P514-PSK_AT_verzia_3_5!P464</f>
        <v>0</v>
      </c>
      <c r="Q514" s="71">
        <f>PSK_AT_verzia_4_0!Q514-PSK_AT_verzia_3_5!Q464</f>
        <v>0</v>
      </c>
    </row>
    <row r="515" spans="1:17" ht="28" customHeight="1" x14ac:dyDescent="0.35">
      <c r="A515" s="234"/>
      <c r="B515" s="235"/>
      <c r="C515" s="200">
        <f>PSK_AT_verzia_4_0!C515-PSK_AT_verzia_3_5!C465</f>
        <v>0</v>
      </c>
      <c r="D515" s="200">
        <f>PSK_AT_verzia_4_0!D515-PSK_AT_verzia_3_5!D465</f>
        <v>0</v>
      </c>
      <c r="E515" s="200">
        <f>PSK_AT_verzia_4_0!E515-PSK_AT_verzia_3_5!E465</f>
        <v>0</v>
      </c>
      <c r="F515" s="66" t="s">
        <v>39</v>
      </c>
      <c r="G515" s="71">
        <f>PSK_AT_verzia_4_0!G515-PSK_AT_verzia_3_5!G465</f>
        <v>-1804243</v>
      </c>
      <c r="H515" s="71">
        <f>PSK_AT_verzia_4_0!H515-PSK_AT_verzia_3_5!H465</f>
        <v>-1804243</v>
      </c>
      <c r="I515" s="71">
        <f>PSK_AT_verzia_4_0!I515-PSK_AT_verzia_3_5!I465</f>
        <v>0</v>
      </c>
      <c r="J515" s="71">
        <f>PSK_AT_verzia_4_0!J515-PSK_AT_verzia_3_5!J465</f>
        <v>-1804243</v>
      </c>
      <c r="K515" s="71">
        <f>PSK_AT_verzia_4_0!K515-PSK_AT_verzia_3_5!K465</f>
        <v>-1804243</v>
      </c>
      <c r="L515" s="71">
        <f>PSK_AT_verzia_4_0!L515-PSK_AT_verzia_3_5!L465</f>
        <v>0</v>
      </c>
      <c r="M515" s="71">
        <f>PSK_AT_verzia_4_0!M515-PSK_AT_verzia_3_5!M465</f>
        <v>0</v>
      </c>
      <c r="N515" s="71">
        <f>PSK_AT_verzia_4_0!N515-PSK_AT_verzia_3_5!N465</f>
        <v>0</v>
      </c>
      <c r="O515" s="71">
        <f>PSK_AT_verzia_4_0!O515-PSK_AT_verzia_3_5!O465</f>
        <v>0</v>
      </c>
      <c r="P515" s="71">
        <f>PSK_AT_verzia_4_0!P515-PSK_AT_verzia_3_5!P465</f>
        <v>0</v>
      </c>
      <c r="Q515" s="71">
        <f>PSK_AT_verzia_4_0!Q515-PSK_AT_verzia_3_5!Q465</f>
        <v>0</v>
      </c>
    </row>
    <row r="516" spans="1:17" ht="28" customHeight="1" x14ac:dyDescent="0.35">
      <c r="A516" s="234" t="s">
        <v>410</v>
      </c>
      <c r="B516" s="235" t="s">
        <v>411</v>
      </c>
      <c r="C516" s="57">
        <f>PSK_AT_verzia_4_0!C516-PSK_AT_verzia_3_5!C466</f>
        <v>-356066</v>
      </c>
      <c r="D516" s="57">
        <f>PSK_AT_verzia_4_0!D516-PSK_AT_verzia_3_5!D466</f>
        <v>0</v>
      </c>
      <c r="E516" s="57">
        <f>PSK_AT_verzia_4_0!E516-PSK_AT_verzia_3_5!E466</f>
        <v>0</v>
      </c>
      <c r="F516" s="59" t="s">
        <v>412</v>
      </c>
      <c r="G516" s="58">
        <f>PSK_AT_verzia_4_0!G516-PSK_AT_verzia_3_5!G466</f>
        <v>-356066</v>
      </c>
      <c r="H516" s="58">
        <f>PSK_AT_verzia_4_0!H516-PSK_AT_verzia_3_5!H466</f>
        <v>-356066</v>
      </c>
      <c r="I516" s="58">
        <f>PSK_AT_verzia_4_0!I516-PSK_AT_verzia_3_5!I466</f>
        <v>0</v>
      </c>
      <c r="J516" s="58">
        <f>PSK_AT_verzia_4_0!J516-PSK_AT_verzia_3_5!J466</f>
        <v>-356066</v>
      </c>
      <c r="K516" s="58">
        <f>PSK_AT_verzia_4_0!K516-PSK_AT_verzia_3_5!K466</f>
        <v>-356066</v>
      </c>
      <c r="L516" s="58">
        <f>PSK_AT_verzia_4_0!L516-PSK_AT_verzia_3_5!L466</f>
        <v>0</v>
      </c>
      <c r="M516" s="58">
        <f>PSK_AT_verzia_4_0!M516-PSK_AT_verzia_3_5!M466</f>
        <v>0</v>
      </c>
      <c r="N516" s="58">
        <f>PSK_AT_verzia_4_0!N516-PSK_AT_verzia_3_5!N466</f>
        <v>0</v>
      </c>
      <c r="O516" s="58">
        <f>PSK_AT_verzia_4_0!O516-PSK_AT_verzia_3_5!O466</f>
        <v>0</v>
      </c>
      <c r="P516" s="58">
        <f>PSK_AT_verzia_4_0!P516-PSK_AT_verzia_3_5!P466</f>
        <v>0</v>
      </c>
      <c r="Q516" s="58">
        <f>PSK_AT_verzia_4_0!Q516-PSK_AT_verzia_3_5!Q466</f>
        <v>0</v>
      </c>
    </row>
    <row r="517" spans="1:17" ht="28" customHeight="1" x14ac:dyDescent="0.35">
      <c r="A517" s="234"/>
      <c r="B517" s="235"/>
      <c r="C517" s="60">
        <f>PSK_AT_verzia_4_0!C517-PSK_AT_verzia_3_5!C467</f>
        <v>-356066</v>
      </c>
      <c r="D517" s="60">
        <f>PSK_AT_verzia_4_0!D517-PSK_AT_verzia_3_5!D467</f>
        <v>0</v>
      </c>
      <c r="E517" s="60">
        <f>PSK_AT_verzia_4_0!E517-PSK_AT_verzia_3_5!E467</f>
        <v>0</v>
      </c>
      <c r="F517" s="61" t="s">
        <v>36</v>
      </c>
      <c r="G517" s="60">
        <f>PSK_AT_verzia_4_0!G517-PSK_AT_verzia_3_5!G467</f>
        <v>-356066</v>
      </c>
      <c r="H517" s="60">
        <f>PSK_AT_verzia_4_0!H517-PSK_AT_verzia_3_5!H467</f>
        <v>-356066</v>
      </c>
      <c r="I517" s="60">
        <f>PSK_AT_verzia_4_0!I517-PSK_AT_verzia_3_5!I467</f>
        <v>0</v>
      </c>
      <c r="J517" s="60">
        <f>PSK_AT_verzia_4_0!J517-PSK_AT_verzia_3_5!J467</f>
        <v>-356066</v>
      </c>
      <c r="K517" s="60">
        <f>PSK_AT_verzia_4_0!K517-PSK_AT_verzia_3_5!K467</f>
        <v>-356066</v>
      </c>
      <c r="L517" s="60">
        <f>PSK_AT_verzia_4_0!L517-PSK_AT_verzia_3_5!L467</f>
        <v>0</v>
      </c>
      <c r="M517" s="60">
        <f>PSK_AT_verzia_4_0!M517-PSK_AT_verzia_3_5!M467</f>
        <v>0</v>
      </c>
      <c r="N517" s="60">
        <f>PSK_AT_verzia_4_0!N517-PSK_AT_verzia_3_5!N467</f>
        <v>0</v>
      </c>
      <c r="O517" s="60">
        <f>PSK_AT_verzia_4_0!O517-PSK_AT_verzia_3_5!O467</f>
        <v>0</v>
      </c>
      <c r="P517" s="60">
        <f>PSK_AT_verzia_4_0!P517-PSK_AT_verzia_3_5!P467</f>
        <v>0</v>
      </c>
      <c r="Q517" s="60">
        <f>PSK_AT_verzia_4_0!Q517-PSK_AT_verzia_3_5!Q467</f>
        <v>0</v>
      </c>
    </row>
    <row r="518" spans="1:17" ht="28" customHeight="1" x14ac:dyDescent="0.35">
      <c r="A518" s="234"/>
      <c r="B518" s="235"/>
      <c r="C518" s="200">
        <f>PSK_AT_verzia_4_0!C518-PSK_AT_verzia_3_5!C468</f>
        <v>0</v>
      </c>
      <c r="D518" s="200">
        <f>PSK_AT_verzia_4_0!D518-PSK_AT_verzia_3_5!D468</f>
        <v>0</v>
      </c>
      <c r="E518" s="200">
        <f>PSK_AT_verzia_4_0!E518-PSK_AT_verzia_3_5!E468</f>
        <v>0</v>
      </c>
      <c r="F518" s="66" t="s">
        <v>37</v>
      </c>
      <c r="G518" s="67">
        <f>PSK_AT_verzia_4_0!G518-PSK_AT_verzia_3_5!G468</f>
        <v>0</v>
      </c>
      <c r="H518" s="67">
        <f>PSK_AT_verzia_4_0!H518-PSK_AT_verzia_3_5!H468</f>
        <v>0</v>
      </c>
      <c r="I518" s="67">
        <f>PSK_AT_verzia_4_0!I518-PSK_AT_verzia_3_5!I468</f>
        <v>0</v>
      </c>
      <c r="J518" s="67">
        <f>PSK_AT_verzia_4_0!J518-PSK_AT_verzia_3_5!J468</f>
        <v>0</v>
      </c>
      <c r="K518" s="67">
        <f>PSK_AT_verzia_4_0!K518-PSK_AT_verzia_3_5!K468</f>
        <v>0</v>
      </c>
      <c r="L518" s="67">
        <f>PSK_AT_verzia_4_0!L518-PSK_AT_verzia_3_5!L468</f>
        <v>0</v>
      </c>
      <c r="M518" s="67">
        <f>PSK_AT_verzia_4_0!M518-PSK_AT_verzia_3_5!M468</f>
        <v>0</v>
      </c>
      <c r="N518" s="67">
        <f>PSK_AT_verzia_4_0!N518-PSK_AT_verzia_3_5!N468</f>
        <v>0</v>
      </c>
      <c r="O518" s="67">
        <f>PSK_AT_verzia_4_0!O518-PSK_AT_verzia_3_5!O468</f>
        <v>0</v>
      </c>
      <c r="P518" s="67">
        <f>PSK_AT_verzia_4_0!P518-PSK_AT_verzia_3_5!P468</f>
        <v>0</v>
      </c>
      <c r="Q518" s="67">
        <f>PSK_AT_verzia_4_0!Q518-PSK_AT_verzia_3_5!Q468</f>
        <v>0</v>
      </c>
    </row>
    <row r="519" spans="1:17" ht="28" customHeight="1" x14ac:dyDescent="0.35">
      <c r="A519" s="234"/>
      <c r="B519" s="235"/>
      <c r="C519" s="200">
        <f>PSK_AT_verzia_4_0!C519-PSK_AT_verzia_3_5!C469</f>
        <v>0</v>
      </c>
      <c r="D519" s="200">
        <f>PSK_AT_verzia_4_0!D519-PSK_AT_verzia_3_5!D469</f>
        <v>0</v>
      </c>
      <c r="E519" s="200">
        <f>PSK_AT_verzia_4_0!E519-PSK_AT_verzia_3_5!E469</f>
        <v>0</v>
      </c>
      <c r="F519" s="66" t="s">
        <v>38</v>
      </c>
      <c r="G519" s="71">
        <f>PSK_AT_verzia_4_0!G519-PSK_AT_verzia_3_5!G469</f>
        <v>0</v>
      </c>
      <c r="H519" s="71">
        <f>PSK_AT_verzia_4_0!H519-PSK_AT_verzia_3_5!H469</f>
        <v>0</v>
      </c>
      <c r="I519" s="71">
        <f>PSK_AT_verzia_4_0!I519-PSK_AT_verzia_3_5!I469</f>
        <v>0</v>
      </c>
      <c r="J519" s="71">
        <f>PSK_AT_verzia_4_0!J519-PSK_AT_verzia_3_5!J469</f>
        <v>0</v>
      </c>
      <c r="K519" s="71">
        <f>PSK_AT_verzia_4_0!K519-PSK_AT_verzia_3_5!K469</f>
        <v>0</v>
      </c>
      <c r="L519" s="71">
        <f>PSK_AT_verzia_4_0!L519-PSK_AT_verzia_3_5!L469</f>
        <v>0</v>
      </c>
      <c r="M519" s="71">
        <f>PSK_AT_verzia_4_0!M519-PSK_AT_verzia_3_5!M469</f>
        <v>0</v>
      </c>
      <c r="N519" s="71">
        <f>PSK_AT_verzia_4_0!N519-PSK_AT_verzia_3_5!N469</f>
        <v>0</v>
      </c>
      <c r="O519" s="71">
        <f>PSK_AT_verzia_4_0!O519-PSK_AT_verzia_3_5!O469</f>
        <v>0</v>
      </c>
      <c r="P519" s="71">
        <f>PSK_AT_verzia_4_0!P519-PSK_AT_verzia_3_5!P469</f>
        <v>0</v>
      </c>
      <c r="Q519" s="71">
        <f>PSK_AT_verzia_4_0!Q519-PSK_AT_verzia_3_5!Q469</f>
        <v>0</v>
      </c>
    </row>
    <row r="520" spans="1:17" ht="28" customHeight="1" x14ac:dyDescent="0.35">
      <c r="A520" s="234"/>
      <c r="B520" s="235"/>
      <c r="C520" s="200">
        <f>PSK_AT_verzia_4_0!C520-PSK_AT_verzia_3_5!C470</f>
        <v>0</v>
      </c>
      <c r="D520" s="200">
        <f>PSK_AT_verzia_4_0!D520-PSK_AT_verzia_3_5!D470</f>
        <v>0</v>
      </c>
      <c r="E520" s="200">
        <f>PSK_AT_verzia_4_0!E520-PSK_AT_verzia_3_5!E470</f>
        <v>0</v>
      </c>
      <c r="F520" s="66" t="s">
        <v>39</v>
      </c>
      <c r="G520" s="71">
        <f>PSK_AT_verzia_4_0!G520-PSK_AT_verzia_3_5!G470</f>
        <v>-356066</v>
      </c>
      <c r="H520" s="71">
        <f>PSK_AT_verzia_4_0!H520-PSK_AT_verzia_3_5!H470</f>
        <v>-356066</v>
      </c>
      <c r="I520" s="71">
        <f>PSK_AT_verzia_4_0!I520-PSK_AT_verzia_3_5!I470</f>
        <v>0</v>
      </c>
      <c r="J520" s="71">
        <f>PSK_AT_verzia_4_0!J520-PSK_AT_verzia_3_5!J470</f>
        <v>-356066</v>
      </c>
      <c r="K520" s="71">
        <f>PSK_AT_verzia_4_0!K520-PSK_AT_verzia_3_5!K470</f>
        <v>-356066</v>
      </c>
      <c r="L520" s="71">
        <f>PSK_AT_verzia_4_0!L520-PSK_AT_verzia_3_5!L470</f>
        <v>0</v>
      </c>
      <c r="M520" s="71">
        <f>PSK_AT_verzia_4_0!M520-PSK_AT_verzia_3_5!M470</f>
        <v>0</v>
      </c>
      <c r="N520" s="71">
        <f>PSK_AT_verzia_4_0!N520-PSK_AT_verzia_3_5!N470</f>
        <v>0</v>
      </c>
      <c r="O520" s="71">
        <f>PSK_AT_verzia_4_0!O520-PSK_AT_verzia_3_5!O470</f>
        <v>0</v>
      </c>
      <c r="P520" s="71">
        <f>PSK_AT_verzia_4_0!P520-PSK_AT_verzia_3_5!P470</f>
        <v>0</v>
      </c>
      <c r="Q520" s="71">
        <f>PSK_AT_verzia_4_0!Q520-PSK_AT_verzia_3_5!Q470</f>
        <v>0</v>
      </c>
    </row>
    <row r="521" spans="1:17" ht="28" customHeight="1" x14ac:dyDescent="0.35">
      <c r="A521" s="234" t="s">
        <v>413</v>
      </c>
      <c r="B521" s="235" t="s">
        <v>414</v>
      </c>
      <c r="C521" s="57">
        <f>PSK_AT_verzia_4_0!C521-PSK_AT_verzia_3_5!C471</f>
        <v>15602831</v>
      </c>
      <c r="D521" s="57">
        <f>PSK_AT_verzia_4_0!D521-PSK_AT_verzia_3_5!D471</f>
        <v>0</v>
      </c>
      <c r="E521" s="57">
        <f>PSK_AT_verzia_4_0!E521-PSK_AT_verzia_3_5!E471</f>
        <v>0</v>
      </c>
      <c r="F521" s="59" t="s">
        <v>415</v>
      </c>
      <c r="G521" s="58">
        <f>PSK_AT_verzia_4_0!G521-PSK_AT_verzia_3_5!G471</f>
        <v>15602831</v>
      </c>
      <c r="H521" s="58">
        <f>PSK_AT_verzia_4_0!H521-PSK_AT_verzia_3_5!H471</f>
        <v>15602831</v>
      </c>
      <c r="I521" s="58">
        <f>PSK_AT_verzia_4_0!I521-PSK_AT_verzia_3_5!I471</f>
        <v>0</v>
      </c>
      <c r="J521" s="58">
        <f>PSK_AT_verzia_4_0!J521-PSK_AT_verzia_3_5!J471</f>
        <v>15602831</v>
      </c>
      <c r="K521" s="58">
        <f>PSK_AT_verzia_4_0!K521-PSK_AT_verzia_3_5!K471</f>
        <v>15602831</v>
      </c>
      <c r="L521" s="58">
        <f>PSK_AT_verzia_4_0!L521-PSK_AT_verzia_3_5!L471</f>
        <v>0</v>
      </c>
      <c r="M521" s="58">
        <f>PSK_AT_verzia_4_0!M521-PSK_AT_verzia_3_5!M471</f>
        <v>0</v>
      </c>
      <c r="N521" s="58">
        <f>PSK_AT_verzia_4_0!N521-PSK_AT_verzia_3_5!N471</f>
        <v>0</v>
      </c>
      <c r="O521" s="58">
        <f>PSK_AT_verzia_4_0!O521-PSK_AT_verzia_3_5!O471</f>
        <v>0</v>
      </c>
      <c r="P521" s="58">
        <f>PSK_AT_verzia_4_0!P521-PSK_AT_verzia_3_5!P471</f>
        <v>0</v>
      </c>
      <c r="Q521" s="58">
        <f>PSK_AT_verzia_4_0!Q521-PSK_AT_verzia_3_5!Q471</f>
        <v>0</v>
      </c>
    </row>
    <row r="522" spans="1:17" ht="28" customHeight="1" x14ac:dyDescent="0.35">
      <c r="A522" s="234"/>
      <c r="B522" s="235"/>
      <c r="C522" s="60">
        <f>PSK_AT_verzia_4_0!C522-PSK_AT_verzia_3_5!C472</f>
        <v>15602831</v>
      </c>
      <c r="D522" s="60">
        <f>PSK_AT_verzia_4_0!D522-PSK_AT_verzia_3_5!D472</f>
        <v>0</v>
      </c>
      <c r="E522" s="60">
        <f>PSK_AT_verzia_4_0!E522-PSK_AT_verzia_3_5!E472</f>
        <v>0</v>
      </c>
      <c r="F522" s="61" t="s">
        <v>36</v>
      </c>
      <c r="G522" s="60">
        <f>PSK_AT_verzia_4_0!G522-PSK_AT_verzia_3_5!G472</f>
        <v>15602831</v>
      </c>
      <c r="H522" s="60">
        <f>PSK_AT_verzia_4_0!H522-PSK_AT_verzia_3_5!H472</f>
        <v>15602831</v>
      </c>
      <c r="I522" s="60">
        <f>PSK_AT_verzia_4_0!I522-PSK_AT_verzia_3_5!I472</f>
        <v>0</v>
      </c>
      <c r="J522" s="60">
        <f>PSK_AT_verzia_4_0!J522-PSK_AT_verzia_3_5!J472</f>
        <v>15602831</v>
      </c>
      <c r="K522" s="60">
        <f>PSK_AT_verzia_4_0!K522-PSK_AT_verzia_3_5!K472</f>
        <v>15602831</v>
      </c>
      <c r="L522" s="60">
        <f>PSK_AT_verzia_4_0!L522-PSK_AT_verzia_3_5!L472</f>
        <v>0</v>
      </c>
      <c r="M522" s="60">
        <f>PSK_AT_verzia_4_0!M522-PSK_AT_verzia_3_5!M472</f>
        <v>0</v>
      </c>
      <c r="N522" s="60">
        <f>PSK_AT_verzia_4_0!N522-PSK_AT_verzia_3_5!N472</f>
        <v>0</v>
      </c>
      <c r="O522" s="60">
        <f>PSK_AT_verzia_4_0!O522-PSK_AT_verzia_3_5!O472</f>
        <v>0</v>
      </c>
      <c r="P522" s="60">
        <f>PSK_AT_verzia_4_0!P522-PSK_AT_verzia_3_5!P472</f>
        <v>0</v>
      </c>
      <c r="Q522" s="60">
        <f>PSK_AT_verzia_4_0!Q522-PSK_AT_verzia_3_5!Q472</f>
        <v>0</v>
      </c>
    </row>
    <row r="523" spans="1:17" ht="28" customHeight="1" x14ac:dyDescent="0.35">
      <c r="A523" s="234"/>
      <c r="B523" s="235"/>
      <c r="C523" s="200">
        <f>PSK_AT_verzia_4_0!C523-PSK_AT_verzia_3_5!C473</f>
        <v>0</v>
      </c>
      <c r="D523" s="200">
        <f>PSK_AT_verzia_4_0!D523-PSK_AT_verzia_3_5!D473</f>
        <v>0</v>
      </c>
      <c r="E523" s="200">
        <f>PSK_AT_verzia_4_0!E523-PSK_AT_verzia_3_5!E473</f>
        <v>0</v>
      </c>
      <c r="F523" s="66" t="s">
        <v>37</v>
      </c>
      <c r="G523" s="67">
        <f>PSK_AT_verzia_4_0!G523-PSK_AT_verzia_3_5!G473</f>
        <v>0</v>
      </c>
      <c r="H523" s="67">
        <f>PSK_AT_verzia_4_0!H523-PSK_AT_verzia_3_5!H473</f>
        <v>0</v>
      </c>
      <c r="I523" s="67">
        <f>PSK_AT_verzia_4_0!I523-PSK_AT_verzia_3_5!I473</f>
        <v>0</v>
      </c>
      <c r="J523" s="67">
        <f>PSK_AT_verzia_4_0!J523-PSK_AT_verzia_3_5!J473</f>
        <v>0</v>
      </c>
      <c r="K523" s="67">
        <f>PSK_AT_verzia_4_0!K523-PSK_AT_verzia_3_5!K473</f>
        <v>0</v>
      </c>
      <c r="L523" s="67">
        <f>PSK_AT_verzia_4_0!L523-PSK_AT_verzia_3_5!L473</f>
        <v>0</v>
      </c>
      <c r="M523" s="67">
        <f>PSK_AT_verzia_4_0!M523-PSK_AT_verzia_3_5!M473</f>
        <v>0</v>
      </c>
      <c r="N523" s="67">
        <f>PSK_AT_verzia_4_0!N523-PSK_AT_verzia_3_5!N473</f>
        <v>0</v>
      </c>
      <c r="O523" s="67">
        <f>PSK_AT_verzia_4_0!O523-PSK_AT_verzia_3_5!O473</f>
        <v>0</v>
      </c>
      <c r="P523" s="67">
        <f>PSK_AT_verzia_4_0!P523-PSK_AT_verzia_3_5!P473</f>
        <v>0</v>
      </c>
      <c r="Q523" s="67">
        <f>PSK_AT_verzia_4_0!Q523-PSK_AT_verzia_3_5!Q473</f>
        <v>0</v>
      </c>
    </row>
    <row r="524" spans="1:17" ht="28" customHeight="1" x14ac:dyDescent="0.35">
      <c r="A524" s="234"/>
      <c r="B524" s="235"/>
      <c r="C524" s="200">
        <f>PSK_AT_verzia_4_0!C524-PSK_AT_verzia_3_5!C474</f>
        <v>0</v>
      </c>
      <c r="D524" s="200">
        <f>PSK_AT_verzia_4_0!D524-PSK_AT_verzia_3_5!D474</f>
        <v>0</v>
      </c>
      <c r="E524" s="200">
        <f>PSK_AT_verzia_4_0!E524-PSK_AT_verzia_3_5!E474</f>
        <v>0</v>
      </c>
      <c r="F524" s="66" t="s">
        <v>38</v>
      </c>
      <c r="G524" s="71">
        <f>PSK_AT_verzia_4_0!G524-PSK_AT_verzia_3_5!G474</f>
        <v>0</v>
      </c>
      <c r="H524" s="71">
        <f>PSK_AT_verzia_4_0!H524-PSK_AT_verzia_3_5!H474</f>
        <v>0</v>
      </c>
      <c r="I524" s="71">
        <f>PSK_AT_verzia_4_0!I524-PSK_AT_verzia_3_5!I474</f>
        <v>0</v>
      </c>
      <c r="J524" s="71">
        <f>PSK_AT_verzia_4_0!J524-PSK_AT_verzia_3_5!J474</f>
        <v>0</v>
      </c>
      <c r="K524" s="71">
        <f>PSK_AT_verzia_4_0!K524-PSK_AT_verzia_3_5!K474</f>
        <v>0</v>
      </c>
      <c r="L524" s="71">
        <f>PSK_AT_verzia_4_0!L524-PSK_AT_verzia_3_5!L474</f>
        <v>0</v>
      </c>
      <c r="M524" s="71">
        <f>PSK_AT_verzia_4_0!M524-PSK_AT_verzia_3_5!M474</f>
        <v>0</v>
      </c>
      <c r="N524" s="71">
        <f>PSK_AT_verzia_4_0!N524-PSK_AT_verzia_3_5!N474</f>
        <v>0</v>
      </c>
      <c r="O524" s="71">
        <f>PSK_AT_verzia_4_0!O524-PSK_AT_verzia_3_5!O474</f>
        <v>0</v>
      </c>
      <c r="P524" s="71">
        <f>PSK_AT_verzia_4_0!P524-PSK_AT_verzia_3_5!P474</f>
        <v>0</v>
      </c>
      <c r="Q524" s="71">
        <f>PSK_AT_verzia_4_0!Q524-PSK_AT_verzia_3_5!Q474</f>
        <v>0</v>
      </c>
    </row>
    <row r="525" spans="1:17" ht="28" customHeight="1" x14ac:dyDescent="0.35">
      <c r="A525" s="234"/>
      <c r="B525" s="235"/>
      <c r="C525" s="200">
        <f>PSK_AT_verzia_4_0!C525-PSK_AT_verzia_3_5!C475</f>
        <v>0</v>
      </c>
      <c r="D525" s="200">
        <f>PSK_AT_verzia_4_0!D525-PSK_AT_verzia_3_5!D475</f>
        <v>0</v>
      </c>
      <c r="E525" s="200">
        <f>PSK_AT_verzia_4_0!E525-PSK_AT_verzia_3_5!E475</f>
        <v>0</v>
      </c>
      <c r="F525" s="66" t="s">
        <v>39</v>
      </c>
      <c r="G525" s="71">
        <f>PSK_AT_verzia_4_0!G525-PSK_AT_verzia_3_5!G475</f>
        <v>15602831</v>
      </c>
      <c r="H525" s="71">
        <f>PSK_AT_verzia_4_0!H525-PSK_AT_verzia_3_5!H475</f>
        <v>15602831</v>
      </c>
      <c r="I525" s="71">
        <f>PSK_AT_verzia_4_0!I525-PSK_AT_verzia_3_5!I475</f>
        <v>0</v>
      </c>
      <c r="J525" s="71">
        <f>PSK_AT_verzia_4_0!J525-PSK_AT_verzia_3_5!J475</f>
        <v>15602831</v>
      </c>
      <c r="K525" s="71">
        <f>PSK_AT_verzia_4_0!K525-PSK_AT_verzia_3_5!K475</f>
        <v>15602831</v>
      </c>
      <c r="L525" s="71">
        <f>PSK_AT_verzia_4_0!L525-PSK_AT_verzia_3_5!L475</f>
        <v>0</v>
      </c>
      <c r="M525" s="71">
        <f>PSK_AT_verzia_4_0!M525-PSK_AT_verzia_3_5!M475</f>
        <v>0</v>
      </c>
      <c r="N525" s="71">
        <f>PSK_AT_verzia_4_0!N525-PSK_AT_verzia_3_5!N475</f>
        <v>0</v>
      </c>
      <c r="O525" s="71">
        <f>PSK_AT_verzia_4_0!O525-PSK_AT_verzia_3_5!O475</f>
        <v>0</v>
      </c>
      <c r="P525" s="71">
        <f>PSK_AT_verzia_4_0!P525-PSK_AT_verzia_3_5!P475</f>
        <v>0</v>
      </c>
      <c r="Q525" s="71">
        <f>PSK_AT_verzia_4_0!Q525-PSK_AT_verzia_3_5!Q475</f>
        <v>0</v>
      </c>
    </row>
    <row r="526" spans="1:17" ht="28" customHeight="1" x14ac:dyDescent="0.35">
      <c r="A526" s="234" t="s">
        <v>416</v>
      </c>
      <c r="B526" s="235" t="s">
        <v>417</v>
      </c>
      <c r="C526" s="57">
        <f>PSK_AT_verzia_4_0!C526-PSK_AT_verzia_3_5!C476</f>
        <v>-5363757</v>
      </c>
      <c r="D526" s="57">
        <f>PSK_AT_verzia_4_0!D526-PSK_AT_verzia_3_5!D476</f>
        <v>0</v>
      </c>
      <c r="E526" s="57">
        <f>PSK_AT_verzia_4_0!E526-PSK_AT_verzia_3_5!E476</f>
        <v>0</v>
      </c>
      <c r="F526" s="59" t="s">
        <v>418</v>
      </c>
      <c r="G526" s="58">
        <f>PSK_AT_verzia_4_0!G526-PSK_AT_verzia_3_5!G476</f>
        <v>-5363757</v>
      </c>
      <c r="H526" s="58">
        <f>PSK_AT_verzia_4_0!H526-PSK_AT_verzia_3_5!H476</f>
        <v>-5363757</v>
      </c>
      <c r="I526" s="58">
        <f>PSK_AT_verzia_4_0!I526-PSK_AT_verzia_3_5!I476</f>
        <v>0</v>
      </c>
      <c r="J526" s="58">
        <f>PSK_AT_verzia_4_0!J526-PSK_AT_verzia_3_5!J476</f>
        <v>-5363757</v>
      </c>
      <c r="K526" s="58">
        <f>PSK_AT_verzia_4_0!K526-PSK_AT_verzia_3_5!K476</f>
        <v>-5363757</v>
      </c>
      <c r="L526" s="58">
        <f>PSK_AT_verzia_4_0!L526-PSK_AT_verzia_3_5!L476</f>
        <v>0</v>
      </c>
      <c r="M526" s="58">
        <f>PSK_AT_verzia_4_0!M526-PSK_AT_verzia_3_5!M476</f>
        <v>0</v>
      </c>
      <c r="N526" s="58">
        <f>PSK_AT_verzia_4_0!N526-PSK_AT_verzia_3_5!N476</f>
        <v>0</v>
      </c>
      <c r="O526" s="58">
        <f>PSK_AT_verzia_4_0!O526-PSK_AT_verzia_3_5!O476</f>
        <v>0</v>
      </c>
      <c r="P526" s="58">
        <f>PSK_AT_verzia_4_0!P526-PSK_AT_verzia_3_5!P476</f>
        <v>0</v>
      </c>
      <c r="Q526" s="58">
        <f>PSK_AT_verzia_4_0!Q526-PSK_AT_verzia_3_5!Q476</f>
        <v>0</v>
      </c>
    </row>
    <row r="527" spans="1:17" ht="28" customHeight="1" x14ac:dyDescent="0.35">
      <c r="A527" s="234"/>
      <c r="B527" s="235"/>
      <c r="C527" s="60">
        <f>PSK_AT_verzia_4_0!C527-PSK_AT_verzia_3_5!C477</f>
        <v>-5363757</v>
      </c>
      <c r="D527" s="60">
        <f>PSK_AT_verzia_4_0!D527-PSK_AT_verzia_3_5!D477</f>
        <v>0</v>
      </c>
      <c r="E527" s="60">
        <f>PSK_AT_verzia_4_0!E527-PSK_AT_verzia_3_5!E477</f>
        <v>0</v>
      </c>
      <c r="F527" s="61" t="s">
        <v>36</v>
      </c>
      <c r="G527" s="60">
        <f>PSK_AT_verzia_4_0!G527-PSK_AT_verzia_3_5!G477</f>
        <v>-5363757</v>
      </c>
      <c r="H527" s="60">
        <f>PSK_AT_verzia_4_0!H527-PSK_AT_verzia_3_5!H477</f>
        <v>-5363757</v>
      </c>
      <c r="I527" s="60">
        <f>PSK_AT_verzia_4_0!I527-PSK_AT_verzia_3_5!I477</f>
        <v>0</v>
      </c>
      <c r="J527" s="60">
        <f>PSK_AT_verzia_4_0!J527-PSK_AT_verzia_3_5!J477</f>
        <v>-5363757</v>
      </c>
      <c r="K527" s="60">
        <f>PSK_AT_verzia_4_0!K527-PSK_AT_verzia_3_5!K477</f>
        <v>-5363757</v>
      </c>
      <c r="L527" s="60">
        <f>PSK_AT_verzia_4_0!L527-PSK_AT_verzia_3_5!L477</f>
        <v>0</v>
      </c>
      <c r="M527" s="60">
        <f>PSK_AT_verzia_4_0!M527-PSK_AT_verzia_3_5!M477</f>
        <v>0</v>
      </c>
      <c r="N527" s="60">
        <f>PSK_AT_verzia_4_0!N527-PSK_AT_verzia_3_5!N477</f>
        <v>0</v>
      </c>
      <c r="O527" s="60">
        <f>PSK_AT_verzia_4_0!O527-PSK_AT_verzia_3_5!O477</f>
        <v>0</v>
      </c>
      <c r="P527" s="60">
        <f>PSK_AT_verzia_4_0!P527-PSK_AT_verzia_3_5!P477</f>
        <v>0</v>
      </c>
      <c r="Q527" s="60">
        <f>PSK_AT_verzia_4_0!Q527-PSK_AT_verzia_3_5!Q477</f>
        <v>0</v>
      </c>
    </row>
    <row r="528" spans="1:17" ht="28" customHeight="1" x14ac:dyDescent="0.35">
      <c r="A528" s="234"/>
      <c r="B528" s="235"/>
      <c r="C528" s="200">
        <f>PSK_AT_verzia_4_0!C528-PSK_AT_verzia_3_5!C478</f>
        <v>0</v>
      </c>
      <c r="D528" s="200">
        <f>PSK_AT_verzia_4_0!D528-PSK_AT_verzia_3_5!D478</f>
        <v>0</v>
      </c>
      <c r="E528" s="200">
        <f>PSK_AT_verzia_4_0!E528-PSK_AT_verzia_3_5!E478</f>
        <v>0</v>
      </c>
      <c r="F528" s="66" t="s">
        <v>37</v>
      </c>
      <c r="G528" s="67">
        <f>PSK_AT_verzia_4_0!G528-PSK_AT_verzia_3_5!G478</f>
        <v>0</v>
      </c>
      <c r="H528" s="67">
        <f>PSK_AT_verzia_4_0!H528-PSK_AT_verzia_3_5!H478</f>
        <v>0</v>
      </c>
      <c r="I528" s="67">
        <f>PSK_AT_verzia_4_0!I528-PSK_AT_verzia_3_5!I478</f>
        <v>0</v>
      </c>
      <c r="J528" s="67">
        <f>PSK_AT_verzia_4_0!J528-PSK_AT_verzia_3_5!J478</f>
        <v>0</v>
      </c>
      <c r="K528" s="67">
        <f>PSK_AT_verzia_4_0!K528-PSK_AT_verzia_3_5!K478</f>
        <v>0</v>
      </c>
      <c r="L528" s="67">
        <f>PSK_AT_verzia_4_0!L528-PSK_AT_verzia_3_5!L478</f>
        <v>0</v>
      </c>
      <c r="M528" s="67">
        <f>PSK_AT_verzia_4_0!M528-PSK_AT_verzia_3_5!M478</f>
        <v>0</v>
      </c>
      <c r="N528" s="67">
        <f>PSK_AT_verzia_4_0!N528-PSK_AT_verzia_3_5!N478</f>
        <v>0</v>
      </c>
      <c r="O528" s="67">
        <f>PSK_AT_verzia_4_0!O528-PSK_AT_verzia_3_5!O478</f>
        <v>0</v>
      </c>
      <c r="P528" s="67">
        <f>PSK_AT_verzia_4_0!P528-PSK_AT_verzia_3_5!P478</f>
        <v>0</v>
      </c>
      <c r="Q528" s="67">
        <f>PSK_AT_verzia_4_0!Q528-PSK_AT_verzia_3_5!Q478</f>
        <v>0</v>
      </c>
    </row>
    <row r="529" spans="1:17" ht="28" customHeight="1" x14ac:dyDescent="0.35">
      <c r="A529" s="234"/>
      <c r="B529" s="235"/>
      <c r="C529" s="200">
        <f>PSK_AT_verzia_4_0!C529-PSK_AT_verzia_3_5!C479</f>
        <v>0</v>
      </c>
      <c r="D529" s="200">
        <f>PSK_AT_verzia_4_0!D529-PSK_AT_verzia_3_5!D479</f>
        <v>0</v>
      </c>
      <c r="E529" s="200">
        <f>PSK_AT_verzia_4_0!E529-PSK_AT_verzia_3_5!E479</f>
        <v>0</v>
      </c>
      <c r="F529" s="66" t="s">
        <v>38</v>
      </c>
      <c r="G529" s="71">
        <f>PSK_AT_verzia_4_0!G529-PSK_AT_verzia_3_5!G479</f>
        <v>0</v>
      </c>
      <c r="H529" s="71">
        <f>PSK_AT_verzia_4_0!H529-PSK_AT_verzia_3_5!H479</f>
        <v>0</v>
      </c>
      <c r="I529" s="71">
        <f>PSK_AT_verzia_4_0!I529-PSK_AT_verzia_3_5!I479</f>
        <v>0</v>
      </c>
      <c r="J529" s="71">
        <f>PSK_AT_verzia_4_0!J529-PSK_AT_verzia_3_5!J479</f>
        <v>0</v>
      </c>
      <c r="K529" s="71">
        <f>PSK_AT_verzia_4_0!K529-PSK_AT_verzia_3_5!K479</f>
        <v>0</v>
      </c>
      <c r="L529" s="71">
        <f>PSK_AT_verzia_4_0!L529-PSK_AT_verzia_3_5!L479</f>
        <v>0</v>
      </c>
      <c r="M529" s="71">
        <f>PSK_AT_verzia_4_0!M529-PSK_AT_verzia_3_5!M479</f>
        <v>0</v>
      </c>
      <c r="N529" s="71">
        <f>PSK_AT_verzia_4_0!N529-PSK_AT_verzia_3_5!N479</f>
        <v>0</v>
      </c>
      <c r="O529" s="71">
        <f>PSK_AT_verzia_4_0!O529-PSK_AT_verzia_3_5!O479</f>
        <v>0</v>
      </c>
      <c r="P529" s="71">
        <f>PSK_AT_verzia_4_0!P529-PSK_AT_verzia_3_5!P479</f>
        <v>0</v>
      </c>
      <c r="Q529" s="71">
        <f>PSK_AT_verzia_4_0!Q529-PSK_AT_verzia_3_5!Q479</f>
        <v>0</v>
      </c>
    </row>
    <row r="530" spans="1:17" ht="28" customHeight="1" x14ac:dyDescent="0.35">
      <c r="A530" s="234"/>
      <c r="B530" s="235"/>
      <c r="C530" s="200">
        <f>PSK_AT_verzia_4_0!C530-PSK_AT_verzia_3_5!C480</f>
        <v>0</v>
      </c>
      <c r="D530" s="200">
        <f>PSK_AT_verzia_4_0!D530-PSK_AT_verzia_3_5!D480</f>
        <v>0</v>
      </c>
      <c r="E530" s="200">
        <f>PSK_AT_verzia_4_0!E530-PSK_AT_verzia_3_5!E480</f>
        <v>0</v>
      </c>
      <c r="F530" s="66" t="s">
        <v>39</v>
      </c>
      <c r="G530" s="71">
        <f>PSK_AT_verzia_4_0!G530-PSK_AT_verzia_3_5!G480</f>
        <v>-5363757</v>
      </c>
      <c r="H530" s="71">
        <f>PSK_AT_verzia_4_0!H530-PSK_AT_verzia_3_5!H480</f>
        <v>-5363757</v>
      </c>
      <c r="I530" s="71">
        <f>PSK_AT_verzia_4_0!I530-PSK_AT_verzia_3_5!I480</f>
        <v>0</v>
      </c>
      <c r="J530" s="71">
        <f>PSK_AT_verzia_4_0!J530-PSK_AT_verzia_3_5!J480</f>
        <v>-5363757</v>
      </c>
      <c r="K530" s="71">
        <f>PSK_AT_verzia_4_0!K530-PSK_AT_verzia_3_5!K480</f>
        <v>-5363757</v>
      </c>
      <c r="L530" s="71">
        <f>PSK_AT_verzia_4_0!L530-PSK_AT_verzia_3_5!L480</f>
        <v>0</v>
      </c>
      <c r="M530" s="71">
        <f>PSK_AT_verzia_4_0!M530-PSK_AT_verzia_3_5!M480</f>
        <v>0</v>
      </c>
      <c r="N530" s="71">
        <f>PSK_AT_verzia_4_0!N530-PSK_AT_verzia_3_5!N480</f>
        <v>0</v>
      </c>
      <c r="O530" s="71">
        <f>PSK_AT_verzia_4_0!O530-PSK_AT_verzia_3_5!O480</f>
        <v>0</v>
      </c>
      <c r="P530" s="71">
        <f>PSK_AT_verzia_4_0!P530-PSK_AT_verzia_3_5!P480</f>
        <v>0</v>
      </c>
      <c r="Q530" s="71">
        <f>PSK_AT_verzia_4_0!Q530-PSK_AT_verzia_3_5!Q480</f>
        <v>0</v>
      </c>
    </row>
    <row r="531" spans="1:17" ht="28" customHeight="1" x14ac:dyDescent="0.35">
      <c r="A531" s="234" t="s">
        <v>419</v>
      </c>
      <c r="B531" s="235" t="s">
        <v>420</v>
      </c>
      <c r="C531" s="57">
        <f>PSK_AT_verzia_4_0!C531-PSK_AT_verzia_3_5!C481</f>
        <v>0</v>
      </c>
      <c r="D531" s="57">
        <f>PSK_AT_verzia_4_0!D531-PSK_AT_verzia_3_5!D481</f>
        <v>0</v>
      </c>
      <c r="E531" s="57">
        <f>PSK_AT_verzia_4_0!E531-PSK_AT_verzia_3_5!E481</f>
        <v>0</v>
      </c>
      <c r="F531" s="59" t="s">
        <v>421</v>
      </c>
      <c r="G531" s="58">
        <f>PSK_AT_verzia_4_0!G531-PSK_AT_verzia_3_5!G481</f>
        <v>0</v>
      </c>
      <c r="H531" s="58">
        <f>PSK_AT_verzia_4_0!H531-PSK_AT_verzia_3_5!H481</f>
        <v>0</v>
      </c>
      <c r="I531" s="58">
        <f>PSK_AT_verzia_4_0!I531-PSK_AT_verzia_3_5!I481</f>
        <v>0</v>
      </c>
      <c r="J531" s="58">
        <f>PSK_AT_verzia_4_0!J531-PSK_AT_verzia_3_5!J481</f>
        <v>0</v>
      </c>
      <c r="K531" s="58">
        <f>PSK_AT_verzia_4_0!K531-PSK_AT_verzia_3_5!K481</f>
        <v>0</v>
      </c>
      <c r="L531" s="58">
        <f>PSK_AT_verzia_4_0!L531-PSK_AT_verzia_3_5!L481</f>
        <v>0</v>
      </c>
      <c r="M531" s="58">
        <f>PSK_AT_verzia_4_0!M531-PSK_AT_verzia_3_5!M481</f>
        <v>0</v>
      </c>
      <c r="N531" s="58">
        <f>PSK_AT_verzia_4_0!N531-PSK_AT_verzia_3_5!N481</f>
        <v>0</v>
      </c>
      <c r="O531" s="58">
        <f>PSK_AT_verzia_4_0!O531-PSK_AT_verzia_3_5!O481</f>
        <v>0</v>
      </c>
      <c r="P531" s="58">
        <f>PSK_AT_verzia_4_0!P531-PSK_AT_verzia_3_5!P481</f>
        <v>0</v>
      </c>
      <c r="Q531" s="58">
        <f>PSK_AT_verzia_4_0!Q531-PSK_AT_verzia_3_5!Q481</f>
        <v>0</v>
      </c>
    </row>
    <row r="532" spans="1:17" ht="28" customHeight="1" x14ac:dyDescent="0.35">
      <c r="A532" s="234"/>
      <c r="B532" s="235"/>
      <c r="C532" s="60">
        <f>PSK_AT_verzia_4_0!C532-PSK_AT_verzia_3_5!C482</f>
        <v>0</v>
      </c>
      <c r="D532" s="60">
        <f>PSK_AT_verzia_4_0!D532-PSK_AT_verzia_3_5!D482</f>
        <v>0</v>
      </c>
      <c r="E532" s="60">
        <f>PSK_AT_verzia_4_0!E532-PSK_AT_verzia_3_5!E482</f>
        <v>0</v>
      </c>
      <c r="F532" s="61" t="s">
        <v>36</v>
      </c>
      <c r="G532" s="60">
        <f>PSK_AT_verzia_4_0!G532-PSK_AT_verzia_3_5!G482</f>
        <v>0</v>
      </c>
      <c r="H532" s="60">
        <f>PSK_AT_verzia_4_0!H532-PSK_AT_verzia_3_5!H482</f>
        <v>0</v>
      </c>
      <c r="I532" s="60">
        <f>PSK_AT_verzia_4_0!I532-PSK_AT_verzia_3_5!I482</f>
        <v>0</v>
      </c>
      <c r="J532" s="60">
        <f>PSK_AT_verzia_4_0!J532-PSK_AT_verzia_3_5!J482</f>
        <v>0</v>
      </c>
      <c r="K532" s="60">
        <f>PSK_AT_verzia_4_0!K532-PSK_AT_verzia_3_5!K482</f>
        <v>0</v>
      </c>
      <c r="L532" s="60">
        <f>PSK_AT_verzia_4_0!L532-PSK_AT_verzia_3_5!L482</f>
        <v>0</v>
      </c>
      <c r="M532" s="60">
        <f>PSK_AT_verzia_4_0!M532-PSK_AT_verzia_3_5!M482</f>
        <v>0</v>
      </c>
      <c r="N532" s="60">
        <f>PSK_AT_verzia_4_0!N532-PSK_AT_verzia_3_5!N482</f>
        <v>0</v>
      </c>
      <c r="O532" s="60">
        <f>PSK_AT_verzia_4_0!O532-PSK_AT_verzia_3_5!O482</f>
        <v>0</v>
      </c>
      <c r="P532" s="60">
        <f>PSK_AT_verzia_4_0!P532-PSK_AT_verzia_3_5!P482</f>
        <v>0</v>
      </c>
      <c r="Q532" s="60">
        <f>PSK_AT_verzia_4_0!Q532-PSK_AT_verzia_3_5!Q482</f>
        <v>0</v>
      </c>
    </row>
    <row r="533" spans="1:17" ht="28" customHeight="1" x14ac:dyDescent="0.35">
      <c r="A533" s="234"/>
      <c r="B533" s="235"/>
      <c r="C533" s="200">
        <f>PSK_AT_verzia_4_0!C533-PSK_AT_verzia_3_5!C483</f>
        <v>0</v>
      </c>
      <c r="D533" s="200">
        <f>PSK_AT_verzia_4_0!D533-PSK_AT_verzia_3_5!D483</f>
        <v>0</v>
      </c>
      <c r="E533" s="200">
        <f>PSK_AT_verzia_4_0!E533-PSK_AT_verzia_3_5!E483</f>
        <v>0</v>
      </c>
      <c r="F533" s="66" t="s">
        <v>37</v>
      </c>
      <c r="G533" s="67">
        <f>PSK_AT_verzia_4_0!G533-PSK_AT_verzia_3_5!G483</f>
        <v>0</v>
      </c>
      <c r="H533" s="67">
        <f>PSK_AT_verzia_4_0!H533-PSK_AT_verzia_3_5!H483</f>
        <v>0</v>
      </c>
      <c r="I533" s="67">
        <f>PSK_AT_verzia_4_0!I533-PSK_AT_verzia_3_5!I483</f>
        <v>0</v>
      </c>
      <c r="J533" s="67">
        <f>PSK_AT_verzia_4_0!J533-PSK_AT_verzia_3_5!J483</f>
        <v>0</v>
      </c>
      <c r="K533" s="67">
        <f>PSK_AT_verzia_4_0!K533-PSK_AT_verzia_3_5!K483</f>
        <v>0</v>
      </c>
      <c r="L533" s="67">
        <f>PSK_AT_verzia_4_0!L533-PSK_AT_verzia_3_5!L483</f>
        <v>0</v>
      </c>
      <c r="M533" s="67">
        <f>PSK_AT_verzia_4_0!M533-PSK_AT_verzia_3_5!M483</f>
        <v>0</v>
      </c>
      <c r="N533" s="67">
        <f>PSK_AT_verzia_4_0!N533-PSK_AT_verzia_3_5!N483</f>
        <v>0</v>
      </c>
      <c r="O533" s="67">
        <f>PSK_AT_verzia_4_0!O533-PSK_AT_verzia_3_5!O483</f>
        <v>0</v>
      </c>
      <c r="P533" s="67">
        <f>PSK_AT_verzia_4_0!P533-PSK_AT_verzia_3_5!P483</f>
        <v>0</v>
      </c>
      <c r="Q533" s="67">
        <f>PSK_AT_verzia_4_0!Q533-PSK_AT_verzia_3_5!Q483</f>
        <v>0</v>
      </c>
    </row>
    <row r="534" spans="1:17" ht="28" customHeight="1" x14ac:dyDescent="0.35">
      <c r="A534" s="234"/>
      <c r="B534" s="235"/>
      <c r="C534" s="200">
        <f>PSK_AT_verzia_4_0!C534-PSK_AT_verzia_3_5!C484</f>
        <v>0</v>
      </c>
      <c r="D534" s="200">
        <f>PSK_AT_verzia_4_0!D534-PSK_AT_verzia_3_5!D484</f>
        <v>0</v>
      </c>
      <c r="E534" s="200">
        <f>PSK_AT_verzia_4_0!E534-PSK_AT_verzia_3_5!E484</f>
        <v>0</v>
      </c>
      <c r="F534" s="66" t="s">
        <v>38</v>
      </c>
      <c r="G534" s="71">
        <f>PSK_AT_verzia_4_0!G534-PSK_AT_verzia_3_5!G484</f>
        <v>0</v>
      </c>
      <c r="H534" s="71">
        <f>PSK_AT_verzia_4_0!H534-PSK_AT_verzia_3_5!H484</f>
        <v>0</v>
      </c>
      <c r="I534" s="71">
        <f>PSK_AT_verzia_4_0!I534-PSK_AT_verzia_3_5!I484</f>
        <v>0</v>
      </c>
      <c r="J534" s="71">
        <f>PSK_AT_verzia_4_0!J534-PSK_AT_verzia_3_5!J484</f>
        <v>0</v>
      </c>
      <c r="K534" s="71">
        <f>PSK_AT_verzia_4_0!K534-PSK_AT_verzia_3_5!K484</f>
        <v>0</v>
      </c>
      <c r="L534" s="71">
        <f>PSK_AT_verzia_4_0!L534-PSK_AT_verzia_3_5!L484</f>
        <v>0</v>
      </c>
      <c r="M534" s="71">
        <f>PSK_AT_verzia_4_0!M534-PSK_AT_verzia_3_5!M484</f>
        <v>0</v>
      </c>
      <c r="N534" s="71">
        <f>PSK_AT_verzia_4_0!N534-PSK_AT_verzia_3_5!N484</f>
        <v>0</v>
      </c>
      <c r="O534" s="71">
        <f>PSK_AT_verzia_4_0!O534-PSK_AT_verzia_3_5!O484</f>
        <v>0</v>
      </c>
      <c r="P534" s="71">
        <f>PSK_AT_verzia_4_0!P534-PSK_AT_verzia_3_5!P484</f>
        <v>0</v>
      </c>
      <c r="Q534" s="71">
        <f>PSK_AT_verzia_4_0!Q534-PSK_AT_verzia_3_5!Q484</f>
        <v>0</v>
      </c>
    </row>
    <row r="535" spans="1:17" ht="28" customHeight="1" x14ac:dyDescent="0.35">
      <c r="A535" s="234"/>
      <c r="B535" s="235"/>
      <c r="C535" s="200">
        <f>PSK_AT_verzia_4_0!C535-PSK_AT_verzia_3_5!C485</f>
        <v>0</v>
      </c>
      <c r="D535" s="200">
        <f>PSK_AT_verzia_4_0!D535-PSK_AT_verzia_3_5!D485</f>
        <v>0</v>
      </c>
      <c r="E535" s="200">
        <f>PSK_AT_verzia_4_0!E535-PSK_AT_verzia_3_5!E485</f>
        <v>0</v>
      </c>
      <c r="F535" s="66" t="s">
        <v>39</v>
      </c>
      <c r="G535" s="71">
        <f>PSK_AT_verzia_4_0!G535-PSK_AT_verzia_3_5!G485</f>
        <v>0</v>
      </c>
      <c r="H535" s="71">
        <f>PSK_AT_verzia_4_0!H535-PSK_AT_verzia_3_5!H485</f>
        <v>0</v>
      </c>
      <c r="I535" s="71">
        <f>PSK_AT_verzia_4_0!I535-PSK_AT_verzia_3_5!I485</f>
        <v>0</v>
      </c>
      <c r="J535" s="71">
        <f>PSK_AT_verzia_4_0!J535-PSK_AT_verzia_3_5!J485</f>
        <v>0</v>
      </c>
      <c r="K535" s="71">
        <f>PSK_AT_verzia_4_0!K535-PSK_AT_verzia_3_5!K485</f>
        <v>0</v>
      </c>
      <c r="L535" s="71">
        <f>PSK_AT_verzia_4_0!L535-PSK_AT_verzia_3_5!L485</f>
        <v>0</v>
      </c>
      <c r="M535" s="71">
        <f>PSK_AT_verzia_4_0!M535-PSK_AT_verzia_3_5!M485</f>
        <v>0</v>
      </c>
      <c r="N535" s="71">
        <f>PSK_AT_verzia_4_0!N535-PSK_AT_verzia_3_5!N485</f>
        <v>0</v>
      </c>
      <c r="O535" s="71">
        <f>PSK_AT_verzia_4_0!O535-PSK_AT_verzia_3_5!O485</f>
        <v>0</v>
      </c>
      <c r="P535" s="71">
        <f>PSK_AT_verzia_4_0!P535-PSK_AT_verzia_3_5!P485</f>
        <v>0</v>
      </c>
      <c r="Q535" s="71">
        <f>PSK_AT_verzia_4_0!Q535-PSK_AT_verzia_3_5!Q485</f>
        <v>0</v>
      </c>
    </row>
    <row r="536" spans="1:17" ht="104" x14ac:dyDescent="0.35">
      <c r="A536" s="87" t="s">
        <v>422</v>
      </c>
      <c r="B536" s="88" t="s">
        <v>423</v>
      </c>
      <c r="C536" s="52">
        <f>PSK_AT_verzia_4_0!C536-PSK_AT_verzia_3_5!C486</f>
        <v>-8750392</v>
      </c>
      <c r="D536" s="52">
        <f>PSK_AT_verzia_4_0!D536-PSK_AT_verzia_3_5!D486</f>
        <v>0</v>
      </c>
      <c r="E536" s="52">
        <f>PSK_AT_verzia_4_0!E536-PSK_AT_verzia_3_5!E486</f>
        <v>0</v>
      </c>
      <c r="F536" s="54" t="s">
        <v>424</v>
      </c>
      <c r="G536" s="52">
        <f>PSK_AT_verzia_4_0!G536-PSK_AT_verzia_3_5!G486</f>
        <v>-8750392</v>
      </c>
      <c r="H536" s="52">
        <f>PSK_AT_verzia_4_0!H536-PSK_AT_verzia_3_5!H486</f>
        <v>-8750392</v>
      </c>
      <c r="I536" s="52">
        <f>PSK_AT_verzia_4_0!I536-PSK_AT_verzia_3_5!I486</f>
        <v>0</v>
      </c>
      <c r="J536" s="52">
        <f>PSK_AT_verzia_4_0!J536-PSK_AT_verzia_3_5!J486</f>
        <v>-8750392</v>
      </c>
      <c r="K536" s="52">
        <f>PSK_AT_verzia_4_0!K536-PSK_AT_verzia_3_5!K486</f>
        <v>-8750392</v>
      </c>
      <c r="L536" s="52">
        <f>PSK_AT_verzia_4_0!L536-PSK_AT_verzia_3_5!L486</f>
        <v>0</v>
      </c>
      <c r="M536" s="52">
        <f>PSK_AT_verzia_4_0!M536-PSK_AT_verzia_3_5!M486</f>
        <v>0</v>
      </c>
      <c r="N536" s="52">
        <f>PSK_AT_verzia_4_0!N536-PSK_AT_verzia_3_5!N486</f>
        <v>0</v>
      </c>
      <c r="O536" s="52">
        <f>PSK_AT_verzia_4_0!O536-PSK_AT_verzia_3_5!O486</f>
        <v>0</v>
      </c>
      <c r="P536" s="52">
        <f>PSK_AT_verzia_4_0!P536-PSK_AT_verzia_3_5!P486</f>
        <v>0</v>
      </c>
      <c r="Q536" s="52">
        <f>PSK_AT_verzia_4_0!Q536-PSK_AT_verzia_3_5!Q486</f>
        <v>0</v>
      </c>
    </row>
    <row r="537" spans="1:17" ht="29.15" customHeight="1" x14ac:dyDescent="0.35">
      <c r="A537" s="234" t="s">
        <v>425</v>
      </c>
      <c r="B537" s="235" t="s">
        <v>405</v>
      </c>
      <c r="C537" s="57">
        <f>PSK_AT_verzia_4_0!C537-PSK_AT_verzia_3_5!C487</f>
        <v>-5374716</v>
      </c>
      <c r="D537" s="57">
        <f>PSK_AT_verzia_4_0!D537-PSK_AT_verzia_3_5!D487</f>
        <v>0</v>
      </c>
      <c r="E537" s="57">
        <f>PSK_AT_verzia_4_0!E537-PSK_AT_verzia_3_5!E487</f>
        <v>0</v>
      </c>
      <c r="F537" s="59" t="s">
        <v>426</v>
      </c>
      <c r="G537" s="58">
        <f>PSK_AT_verzia_4_0!G537-PSK_AT_verzia_3_5!G487</f>
        <v>-5374716</v>
      </c>
      <c r="H537" s="58">
        <f>PSK_AT_verzia_4_0!H537-PSK_AT_verzia_3_5!H487</f>
        <v>-5374716</v>
      </c>
      <c r="I537" s="58">
        <f>PSK_AT_verzia_4_0!I537-PSK_AT_verzia_3_5!I487</f>
        <v>0</v>
      </c>
      <c r="J537" s="58">
        <f>PSK_AT_verzia_4_0!J537-PSK_AT_verzia_3_5!J487</f>
        <v>-5374716</v>
      </c>
      <c r="K537" s="58">
        <f>PSK_AT_verzia_4_0!K537-PSK_AT_verzia_3_5!K487</f>
        <v>-5374716</v>
      </c>
      <c r="L537" s="58">
        <f>PSK_AT_verzia_4_0!L537-PSK_AT_verzia_3_5!L487</f>
        <v>0</v>
      </c>
      <c r="M537" s="58">
        <f>PSK_AT_verzia_4_0!M537-PSK_AT_verzia_3_5!M487</f>
        <v>0</v>
      </c>
      <c r="N537" s="58">
        <f>PSK_AT_verzia_4_0!N537-PSK_AT_verzia_3_5!N487</f>
        <v>0</v>
      </c>
      <c r="O537" s="58">
        <f>PSK_AT_verzia_4_0!O537-PSK_AT_verzia_3_5!O487</f>
        <v>0</v>
      </c>
      <c r="P537" s="58">
        <f>PSK_AT_verzia_4_0!P537-PSK_AT_verzia_3_5!P487</f>
        <v>0</v>
      </c>
      <c r="Q537" s="58">
        <f>PSK_AT_verzia_4_0!Q537-PSK_AT_verzia_3_5!Q487</f>
        <v>0</v>
      </c>
    </row>
    <row r="538" spans="1:17" ht="28" customHeight="1" x14ac:dyDescent="0.35">
      <c r="A538" s="234"/>
      <c r="B538" s="235"/>
      <c r="C538" s="60">
        <f>PSK_AT_verzia_4_0!C538-PSK_AT_verzia_3_5!C488</f>
        <v>-5374716</v>
      </c>
      <c r="D538" s="60">
        <f>PSK_AT_verzia_4_0!D538-PSK_AT_verzia_3_5!D488</f>
        <v>0</v>
      </c>
      <c r="E538" s="60">
        <f>PSK_AT_verzia_4_0!E538-PSK_AT_verzia_3_5!E488</f>
        <v>0</v>
      </c>
      <c r="F538" s="61" t="s">
        <v>36</v>
      </c>
      <c r="G538" s="60">
        <f>PSK_AT_verzia_4_0!G538-PSK_AT_verzia_3_5!G488</f>
        <v>-5374716</v>
      </c>
      <c r="H538" s="60">
        <f>PSK_AT_verzia_4_0!H538-PSK_AT_verzia_3_5!H488</f>
        <v>-5374716</v>
      </c>
      <c r="I538" s="60">
        <f>PSK_AT_verzia_4_0!I538-PSK_AT_verzia_3_5!I488</f>
        <v>0</v>
      </c>
      <c r="J538" s="60">
        <f>PSK_AT_verzia_4_0!J538-PSK_AT_verzia_3_5!J488</f>
        <v>-5374716</v>
      </c>
      <c r="K538" s="60">
        <f>PSK_AT_verzia_4_0!K538-PSK_AT_verzia_3_5!K488</f>
        <v>-5374716</v>
      </c>
      <c r="L538" s="60">
        <f>PSK_AT_verzia_4_0!L538-PSK_AT_verzia_3_5!L488</f>
        <v>0</v>
      </c>
      <c r="M538" s="60">
        <f>PSK_AT_verzia_4_0!M538-PSK_AT_verzia_3_5!M488</f>
        <v>0</v>
      </c>
      <c r="N538" s="60">
        <f>PSK_AT_verzia_4_0!N538-PSK_AT_verzia_3_5!N488</f>
        <v>0</v>
      </c>
      <c r="O538" s="60">
        <f>PSK_AT_verzia_4_0!O538-PSK_AT_verzia_3_5!O488</f>
        <v>0</v>
      </c>
      <c r="P538" s="60">
        <f>PSK_AT_verzia_4_0!P538-PSK_AT_verzia_3_5!P488</f>
        <v>0</v>
      </c>
      <c r="Q538" s="60">
        <f>PSK_AT_verzia_4_0!Q538-PSK_AT_verzia_3_5!Q488</f>
        <v>0</v>
      </c>
    </row>
    <row r="539" spans="1:17" ht="28" customHeight="1" x14ac:dyDescent="0.35">
      <c r="A539" s="234"/>
      <c r="B539" s="235"/>
      <c r="C539" s="200">
        <f>PSK_AT_verzia_4_0!C539-PSK_AT_verzia_3_5!C489</f>
        <v>0</v>
      </c>
      <c r="D539" s="200">
        <f>PSK_AT_verzia_4_0!D539-PSK_AT_verzia_3_5!D489</f>
        <v>0</v>
      </c>
      <c r="E539" s="200">
        <f>PSK_AT_verzia_4_0!E539-PSK_AT_verzia_3_5!E489</f>
        <v>0</v>
      </c>
      <c r="F539" s="66" t="s">
        <v>37</v>
      </c>
      <c r="G539" s="67">
        <f>PSK_AT_verzia_4_0!G539-PSK_AT_verzia_3_5!G489</f>
        <v>0</v>
      </c>
      <c r="H539" s="67">
        <f>PSK_AT_verzia_4_0!H539-PSK_AT_verzia_3_5!H489</f>
        <v>0</v>
      </c>
      <c r="I539" s="67">
        <f>PSK_AT_verzia_4_0!I539-PSK_AT_verzia_3_5!I489</f>
        <v>0</v>
      </c>
      <c r="J539" s="67">
        <f>PSK_AT_verzia_4_0!J539-PSK_AT_verzia_3_5!J489</f>
        <v>0</v>
      </c>
      <c r="K539" s="67">
        <f>PSK_AT_verzia_4_0!K539-PSK_AT_verzia_3_5!K489</f>
        <v>0</v>
      </c>
      <c r="L539" s="67">
        <f>PSK_AT_verzia_4_0!L539-PSK_AT_verzia_3_5!L489</f>
        <v>0</v>
      </c>
      <c r="M539" s="67">
        <f>PSK_AT_verzia_4_0!M539-PSK_AT_verzia_3_5!M489</f>
        <v>0</v>
      </c>
      <c r="N539" s="67">
        <f>PSK_AT_verzia_4_0!N539-PSK_AT_verzia_3_5!N489</f>
        <v>0</v>
      </c>
      <c r="O539" s="67">
        <f>PSK_AT_verzia_4_0!O539-PSK_AT_verzia_3_5!O489</f>
        <v>0</v>
      </c>
      <c r="P539" s="67">
        <f>PSK_AT_verzia_4_0!P539-PSK_AT_verzia_3_5!P489</f>
        <v>0</v>
      </c>
      <c r="Q539" s="67">
        <f>PSK_AT_verzia_4_0!Q539-PSK_AT_verzia_3_5!Q489</f>
        <v>0</v>
      </c>
    </row>
    <row r="540" spans="1:17" ht="28" customHeight="1" x14ac:dyDescent="0.35">
      <c r="A540" s="234"/>
      <c r="B540" s="235"/>
      <c r="C540" s="200">
        <f>PSK_AT_verzia_4_0!C540-PSK_AT_verzia_3_5!C490</f>
        <v>0</v>
      </c>
      <c r="D540" s="200">
        <f>PSK_AT_verzia_4_0!D540-PSK_AT_verzia_3_5!D490</f>
        <v>0</v>
      </c>
      <c r="E540" s="200">
        <f>PSK_AT_verzia_4_0!E540-PSK_AT_verzia_3_5!E490</f>
        <v>0</v>
      </c>
      <c r="F540" s="66" t="s">
        <v>38</v>
      </c>
      <c r="G540" s="71">
        <f>PSK_AT_verzia_4_0!G540-PSK_AT_verzia_3_5!G490</f>
        <v>-5374716</v>
      </c>
      <c r="H540" s="71">
        <f>PSK_AT_verzia_4_0!H540-PSK_AT_verzia_3_5!H490</f>
        <v>-5374716</v>
      </c>
      <c r="I540" s="71">
        <f>PSK_AT_verzia_4_0!I540-PSK_AT_verzia_3_5!I490</f>
        <v>0</v>
      </c>
      <c r="J540" s="71">
        <f>PSK_AT_verzia_4_0!J540-PSK_AT_verzia_3_5!J490</f>
        <v>-5374716</v>
      </c>
      <c r="K540" s="71">
        <f>PSK_AT_verzia_4_0!K540-PSK_AT_verzia_3_5!K490</f>
        <v>-5374716</v>
      </c>
      <c r="L540" s="71">
        <f>PSK_AT_verzia_4_0!L540-PSK_AT_verzia_3_5!L490</f>
        <v>0</v>
      </c>
      <c r="M540" s="71">
        <f>PSK_AT_verzia_4_0!M540-PSK_AT_verzia_3_5!M490</f>
        <v>0</v>
      </c>
      <c r="N540" s="71">
        <f>PSK_AT_verzia_4_0!N540-PSK_AT_verzia_3_5!N490</f>
        <v>0</v>
      </c>
      <c r="O540" s="71">
        <f>PSK_AT_verzia_4_0!O540-PSK_AT_verzia_3_5!O490</f>
        <v>0</v>
      </c>
      <c r="P540" s="71">
        <f>PSK_AT_verzia_4_0!P540-PSK_AT_verzia_3_5!P490</f>
        <v>0</v>
      </c>
      <c r="Q540" s="71">
        <f>PSK_AT_verzia_4_0!Q540-PSK_AT_verzia_3_5!Q490</f>
        <v>0</v>
      </c>
    </row>
    <row r="541" spans="1:17" ht="28" customHeight="1" x14ac:dyDescent="0.35">
      <c r="A541" s="234"/>
      <c r="B541" s="235"/>
      <c r="C541" s="200">
        <f>PSK_AT_verzia_4_0!C541-PSK_AT_verzia_3_5!C491</f>
        <v>0</v>
      </c>
      <c r="D541" s="200">
        <f>PSK_AT_verzia_4_0!D541-PSK_AT_verzia_3_5!D491</f>
        <v>0</v>
      </c>
      <c r="E541" s="200">
        <f>PSK_AT_verzia_4_0!E541-PSK_AT_verzia_3_5!E491</f>
        <v>0</v>
      </c>
      <c r="F541" s="66" t="s">
        <v>39</v>
      </c>
      <c r="G541" s="71">
        <f>PSK_AT_verzia_4_0!G541-PSK_AT_verzia_3_5!G491</f>
        <v>0</v>
      </c>
      <c r="H541" s="71">
        <f>PSK_AT_verzia_4_0!H541-PSK_AT_verzia_3_5!H491</f>
        <v>0</v>
      </c>
      <c r="I541" s="71">
        <f>PSK_AT_verzia_4_0!I541-PSK_AT_verzia_3_5!I491</f>
        <v>0</v>
      </c>
      <c r="J541" s="71">
        <f>PSK_AT_verzia_4_0!J541-PSK_AT_verzia_3_5!J491</f>
        <v>0</v>
      </c>
      <c r="K541" s="71">
        <f>PSK_AT_verzia_4_0!K541-PSK_AT_verzia_3_5!K491</f>
        <v>0</v>
      </c>
      <c r="L541" s="71">
        <f>PSK_AT_verzia_4_0!L541-PSK_AT_verzia_3_5!L491</f>
        <v>0</v>
      </c>
      <c r="M541" s="71">
        <f>PSK_AT_verzia_4_0!M541-PSK_AT_verzia_3_5!M491</f>
        <v>0</v>
      </c>
      <c r="N541" s="71">
        <f>PSK_AT_verzia_4_0!N541-PSK_AT_verzia_3_5!N491</f>
        <v>0</v>
      </c>
      <c r="O541" s="71">
        <f>PSK_AT_verzia_4_0!O541-PSK_AT_verzia_3_5!O491</f>
        <v>0</v>
      </c>
      <c r="P541" s="71">
        <f>PSK_AT_verzia_4_0!P541-PSK_AT_verzia_3_5!P491</f>
        <v>0</v>
      </c>
      <c r="Q541" s="71">
        <f>PSK_AT_verzia_4_0!Q541-PSK_AT_verzia_3_5!Q491</f>
        <v>0</v>
      </c>
    </row>
    <row r="542" spans="1:17" ht="96" customHeight="1" x14ac:dyDescent="0.35">
      <c r="A542" s="234" t="s">
        <v>427</v>
      </c>
      <c r="B542" s="235" t="s">
        <v>408</v>
      </c>
      <c r="C542" s="57">
        <f>PSK_AT_verzia_4_0!C542-PSK_AT_verzia_3_5!C492</f>
        <v>-3171117</v>
      </c>
      <c r="D542" s="57">
        <f>PSK_AT_verzia_4_0!D542-PSK_AT_verzia_3_5!D492</f>
        <v>0</v>
      </c>
      <c r="E542" s="57">
        <f>PSK_AT_verzia_4_0!E542-PSK_AT_verzia_3_5!E492</f>
        <v>0</v>
      </c>
      <c r="F542" s="59" t="s">
        <v>428</v>
      </c>
      <c r="G542" s="58">
        <f>PSK_AT_verzia_4_0!G542-PSK_AT_verzia_3_5!G492</f>
        <v>-3171117</v>
      </c>
      <c r="H542" s="58">
        <f>PSK_AT_verzia_4_0!H542-PSK_AT_verzia_3_5!H492</f>
        <v>-3171117</v>
      </c>
      <c r="I542" s="58">
        <f>PSK_AT_verzia_4_0!I542-PSK_AT_verzia_3_5!I492</f>
        <v>0</v>
      </c>
      <c r="J542" s="58">
        <f>PSK_AT_verzia_4_0!J542-PSK_AT_verzia_3_5!J492</f>
        <v>-3171117</v>
      </c>
      <c r="K542" s="58">
        <f>PSK_AT_verzia_4_0!K542-PSK_AT_verzia_3_5!K492</f>
        <v>-3171117</v>
      </c>
      <c r="L542" s="58">
        <f>PSK_AT_verzia_4_0!L542-PSK_AT_verzia_3_5!L492</f>
        <v>0</v>
      </c>
      <c r="M542" s="58">
        <f>PSK_AT_verzia_4_0!M542-PSK_AT_verzia_3_5!M492</f>
        <v>0</v>
      </c>
      <c r="N542" s="58">
        <f>PSK_AT_verzia_4_0!N542-PSK_AT_verzia_3_5!N492</f>
        <v>0</v>
      </c>
      <c r="O542" s="58">
        <f>PSK_AT_verzia_4_0!O542-PSK_AT_verzia_3_5!O492</f>
        <v>0</v>
      </c>
      <c r="P542" s="58">
        <f>PSK_AT_verzia_4_0!P542-PSK_AT_verzia_3_5!P492</f>
        <v>0</v>
      </c>
      <c r="Q542" s="58">
        <f>PSK_AT_verzia_4_0!Q542-PSK_AT_verzia_3_5!Q492</f>
        <v>0</v>
      </c>
    </row>
    <row r="543" spans="1:17" ht="28" customHeight="1" x14ac:dyDescent="0.35">
      <c r="A543" s="234"/>
      <c r="B543" s="235"/>
      <c r="C543" s="60">
        <f>PSK_AT_verzia_4_0!C543-PSK_AT_verzia_3_5!C493</f>
        <v>-3171117</v>
      </c>
      <c r="D543" s="60">
        <f>PSK_AT_verzia_4_0!D543-PSK_AT_verzia_3_5!D493</f>
        <v>0</v>
      </c>
      <c r="E543" s="60">
        <f>PSK_AT_verzia_4_0!E543-PSK_AT_verzia_3_5!E493</f>
        <v>0</v>
      </c>
      <c r="F543" s="61" t="s">
        <v>36</v>
      </c>
      <c r="G543" s="60">
        <f>PSK_AT_verzia_4_0!G543-PSK_AT_verzia_3_5!G493</f>
        <v>-3171117</v>
      </c>
      <c r="H543" s="60">
        <f>PSK_AT_verzia_4_0!H543-PSK_AT_verzia_3_5!H493</f>
        <v>-3171117</v>
      </c>
      <c r="I543" s="60">
        <f>PSK_AT_verzia_4_0!I543-PSK_AT_verzia_3_5!I493</f>
        <v>0</v>
      </c>
      <c r="J543" s="60">
        <f>PSK_AT_verzia_4_0!J543-PSK_AT_verzia_3_5!J493</f>
        <v>-3171117</v>
      </c>
      <c r="K543" s="60">
        <f>PSK_AT_verzia_4_0!K543-PSK_AT_verzia_3_5!K493</f>
        <v>-3171117</v>
      </c>
      <c r="L543" s="60">
        <f>PSK_AT_verzia_4_0!L543-PSK_AT_verzia_3_5!L493</f>
        <v>0</v>
      </c>
      <c r="M543" s="60">
        <f>PSK_AT_verzia_4_0!M543-PSK_AT_verzia_3_5!M493</f>
        <v>0</v>
      </c>
      <c r="N543" s="60">
        <f>PSK_AT_verzia_4_0!N543-PSK_AT_verzia_3_5!N493</f>
        <v>0</v>
      </c>
      <c r="O543" s="60">
        <f>PSK_AT_verzia_4_0!O543-PSK_AT_verzia_3_5!O493</f>
        <v>0</v>
      </c>
      <c r="P543" s="60">
        <f>PSK_AT_verzia_4_0!P543-PSK_AT_verzia_3_5!P493</f>
        <v>0</v>
      </c>
      <c r="Q543" s="60">
        <f>PSK_AT_verzia_4_0!Q543-PSK_AT_verzia_3_5!Q493</f>
        <v>0</v>
      </c>
    </row>
    <row r="544" spans="1:17" ht="28" customHeight="1" x14ac:dyDescent="0.35">
      <c r="A544" s="234"/>
      <c r="B544" s="235"/>
      <c r="C544" s="200">
        <f>PSK_AT_verzia_4_0!C544-PSK_AT_verzia_3_5!C494</f>
        <v>0</v>
      </c>
      <c r="D544" s="200">
        <f>PSK_AT_verzia_4_0!D544-PSK_AT_verzia_3_5!D494</f>
        <v>0</v>
      </c>
      <c r="E544" s="200">
        <f>PSK_AT_verzia_4_0!E544-PSK_AT_verzia_3_5!E494</f>
        <v>0</v>
      </c>
      <c r="F544" s="66" t="s">
        <v>37</v>
      </c>
      <c r="G544" s="67">
        <f>PSK_AT_verzia_4_0!G544-PSK_AT_verzia_3_5!G494</f>
        <v>0</v>
      </c>
      <c r="H544" s="67">
        <f>PSK_AT_verzia_4_0!H544-PSK_AT_verzia_3_5!H494</f>
        <v>0</v>
      </c>
      <c r="I544" s="67">
        <f>PSK_AT_verzia_4_0!I544-PSK_AT_verzia_3_5!I494</f>
        <v>0</v>
      </c>
      <c r="J544" s="67">
        <f>PSK_AT_verzia_4_0!J544-PSK_AT_verzia_3_5!J494</f>
        <v>0</v>
      </c>
      <c r="K544" s="67">
        <f>PSK_AT_verzia_4_0!K544-PSK_AT_verzia_3_5!K494</f>
        <v>0</v>
      </c>
      <c r="L544" s="67">
        <f>PSK_AT_verzia_4_0!L544-PSK_AT_verzia_3_5!L494</f>
        <v>0</v>
      </c>
      <c r="M544" s="67">
        <f>PSK_AT_verzia_4_0!M544-PSK_AT_verzia_3_5!M494</f>
        <v>0</v>
      </c>
      <c r="N544" s="67">
        <f>PSK_AT_verzia_4_0!N544-PSK_AT_verzia_3_5!N494</f>
        <v>0</v>
      </c>
      <c r="O544" s="67">
        <f>PSK_AT_verzia_4_0!O544-PSK_AT_verzia_3_5!O494</f>
        <v>0</v>
      </c>
      <c r="P544" s="67">
        <f>PSK_AT_verzia_4_0!P544-PSK_AT_verzia_3_5!P494</f>
        <v>0</v>
      </c>
      <c r="Q544" s="67">
        <f>PSK_AT_verzia_4_0!Q544-PSK_AT_verzia_3_5!Q494</f>
        <v>0</v>
      </c>
    </row>
    <row r="545" spans="1:17" ht="28" customHeight="1" x14ac:dyDescent="0.35">
      <c r="A545" s="234"/>
      <c r="B545" s="235"/>
      <c r="C545" s="200">
        <f>PSK_AT_verzia_4_0!C545-PSK_AT_verzia_3_5!C495</f>
        <v>0</v>
      </c>
      <c r="D545" s="200">
        <f>PSK_AT_verzia_4_0!D545-PSK_AT_verzia_3_5!D495</f>
        <v>0</v>
      </c>
      <c r="E545" s="200">
        <f>PSK_AT_verzia_4_0!E545-PSK_AT_verzia_3_5!E495</f>
        <v>0</v>
      </c>
      <c r="F545" s="66" t="s">
        <v>38</v>
      </c>
      <c r="G545" s="71">
        <f>PSK_AT_verzia_4_0!G545-PSK_AT_verzia_3_5!G495</f>
        <v>-3171117</v>
      </c>
      <c r="H545" s="71">
        <f>PSK_AT_verzia_4_0!H545-PSK_AT_verzia_3_5!H495</f>
        <v>-3171117</v>
      </c>
      <c r="I545" s="71">
        <f>PSK_AT_verzia_4_0!I545-PSK_AT_verzia_3_5!I495</f>
        <v>0</v>
      </c>
      <c r="J545" s="71">
        <f>PSK_AT_verzia_4_0!J545-PSK_AT_verzia_3_5!J495</f>
        <v>-3171117</v>
      </c>
      <c r="K545" s="71">
        <f>PSK_AT_verzia_4_0!K545-PSK_AT_verzia_3_5!K495</f>
        <v>-3171117</v>
      </c>
      <c r="L545" s="71">
        <f>PSK_AT_verzia_4_0!L545-PSK_AT_verzia_3_5!L495</f>
        <v>0</v>
      </c>
      <c r="M545" s="71">
        <f>PSK_AT_verzia_4_0!M545-PSK_AT_verzia_3_5!M495</f>
        <v>0</v>
      </c>
      <c r="N545" s="71">
        <f>PSK_AT_verzia_4_0!N545-PSK_AT_verzia_3_5!N495</f>
        <v>0</v>
      </c>
      <c r="O545" s="71">
        <f>PSK_AT_verzia_4_0!O545-PSK_AT_verzia_3_5!O495</f>
        <v>0</v>
      </c>
      <c r="P545" s="71">
        <f>PSK_AT_verzia_4_0!P545-PSK_AT_verzia_3_5!P495</f>
        <v>0</v>
      </c>
      <c r="Q545" s="71">
        <f>PSK_AT_verzia_4_0!Q545-PSK_AT_verzia_3_5!Q495</f>
        <v>0</v>
      </c>
    </row>
    <row r="546" spans="1:17" ht="28" customHeight="1" x14ac:dyDescent="0.35">
      <c r="A546" s="234"/>
      <c r="B546" s="235"/>
      <c r="C546" s="200">
        <f>PSK_AT_verzia_4_0!C546-PSK_AT_verzia_3_5!C496</f>
        <v>0</v>
      </c>
      <c r="D546" s="200">
        <f>PSK_AT_verzia_4_0!D546-PSK_AT_verzia_3_5!D496</f>
        <v>0</v>
      </c>
      <c r="E546" s="200">
        <f>PSK_AT_verzia_4_0!E546-PSK_AT_verzia_3_5!E496</f>
        <v>0</v>
      </c>
      <c r="F546" s="66" t="s">
        <v>39</v>
      </c>
      <c r="G546" s="71">
        <f>PSK_AT_verzia_4_0!G546-PSK_AT_verzia_3_5!G496</f>
        <v>0</v>
      </c>
      <c r="H546" s="71">
        <f>PSK_AT_verzia_4_0!H546-PSK_AT_verzia_3_5!H496</f>
        <v>0</v>
      </c>
      <c r="I546" s="71">
        <f>PSK_AT_verzia_4_0!I546-PSK_AT_verzia_3_5!I496</f>
        <v>0</v>
      </c>
      <c r="J546" s="71">
        <f>PSK_AT_verzia_4_0!J546-PSK_AT_verzia_3_5!J496</f>
        <v>0</v>
      </c>
      <c r="K546" s="71">
        <f>PSK_AT_verzia_4_0!K546-PSK_AT_verzia_3_5!K496</f>
        <v>0</v>
      </c>
      <c r="L546" s="71">
        <f>PSK_AT_verzia_4_0!L546-PSK_AT_verzia_3_5!L496</f>
        <v>0</v>
      </c>
      <c r="M546" s="71">
        <f>PSK_AT_verzia_4_0!M546-PSK_AT_verzia_3_5!M496</f>
        <v>0</v>
      </c>
      <c r="N546" s="71">
        <f>PSK_AT_verzia_4_0!N546-PSK_AT_verzia_3_5!N496</f>
        <v>0</v>
      </c>
      <c r="O546" s="71">
        <f>PSK_AT_verzia_4_0!O546-PSK_AT_verzia_3_5!O496</f>
        <v>0</v>
      </c>
      <c r="P546" s="71">
        <f>PSK_AT_verzia_4_0!P546-PSK_AT_verzia_3_5!P496</f>
        <v>0</v>
      </c>
      <c r="Q546" s="71">
        <f>PSK_AT_verzia_4_0!Q546-PSK_AT_verzia_3_5!Q496</f>
        <v>0</v>
      </c>
    </row>
    <row r="547" spans="1:17" ht="28" customHeight="1" x14ac:dyDescent="0.35">
      <c r="A547" s="234" t="s">
        <v>429</v>
      </c>
      <c r="B547" s="235" t="s">
        <v>411</v>
      </c>
      <c r="C547" s="57">
        <f>PSK_AT_verzia_4_0!C547-PSK_AT_verzia_3_5!C497</f>
        <v>-724035</v>
      </c>
      <c r="D547" s="57">
        <f>PSK_AT_verzia_4_0!D547-PSK_AT_verzia_3_5!D497</f>
        <v>0</v>
      </c>
      <c r="E547" s="57">
        <f>PSK_AT_verzia_4_0!E547-PSK_AT_verzia_3_5!E497</f>
        <v>0</v>
      </c>
      <c r="F547" s="59" t="s">
        <v>430</v>
      </c>
      <c r="G547" s="58">
        <f>PSK_AT_verzia_4_0!G547-PSK_AT_verzia_3_5!G497</f>
        <v>-724035</v>
      </c>
      <c r="H547" s="58">
        <f>PSK_AT_verzia_4_0!H547-PSK_AT_verzia_3_5!H497</f>
        <v>-724035</v>
      </c>
      <c r="I547" s="58">
        <f>PSK_AT_verzia_4_0!I547-PSK_AT_verzia_3_5!I497</f>
        <v>0</v>
      </c>
      <c r="J547" s="58">
        <f>PSK_AT_verzia_4_0!J547-PSK_AT_verzia_3_5!J497</f>
        <v>-724035</v>
      </c>
      <c r="K547" s="58">
        <f>PSK_AT_verzia_4_0!K547-PSK_AT_verzia_3_5!K497</f>
        <v>-724035</v>
      </c>
      <c r="L547" s="58">
        <f>PSK_AT_verzia_4_0!L547-PSK_AT_verzia_3_5!L497</f>
        <v>0</v>
      </c>
      <c r="M547" s="58">
        <f>PSK_AT_verzia_4_0!M547-PSK_AT_verzia_3_5!M497</f>
        <v>0</v>
      </c>
      <c r="N547" s="58">
        <f>PSK_AT_verzia_4_0!N547-PSK_AT_verzia_3_5!N497</f>
        <v>0</v>
      </c>
      <c r="O547" s="58">
        <f>PSK_AT_verzia_4_0!O547-PSK_AT_verzia_3_5!O497</f>
        <v>0</v>
      </c>
      <c r="P547" s="58">
        <f>PSK_AT_verzia_4_0!P547-PSK_AT_verzia_3_5!P497</f>
        <v>0</v>
      </c>
      <c r="Q547" s="58">
        <f>PSK_AT_verzia_4_0!Q547-PSK_AT_verzia_3_5!Q497</f>
        <v>0</v>
      </c>
    </row>
    <row r="548" spans="1:17" ht="28" customHeight="1" x14ac:dyDescent="0.35">
      <c r="A548" s="234"/>
      <c r="B548" s="235"/>
      <c r="C548" s="60">
        <f>PSK_AT_verzia_4_0!C548-PSK_AT_verzia_3_5!C498</f>
        <v>-724035</v>
      </c>
      <c r="D548" s="60">
        <f>PSK_AT_verzia_4_0!D548-PSK_AT_verzia_3_5!D498</f>
        <v>0</v>
      </c>
      <c r="E548" s="60">
        <f>PSK_AT_verzia_4_0!E548-PSK_AT_verzia_3_5!E498</f>
        <v>0</v>
      </c>
      <c r="F548" s="61" t="s">
        <v>36</v>
      </c>
      <c r="G548" s="60">
        <f>PSK_AT_verzia_4_0!G548-PSK_AT_verzia_3_5!G498</f>
        <v>-724035</v>
      </c>
      <c r="H548" s="60">
        <f>PSK_AT_verzia_4_0!H548-PSK_AT_verzia_3_5!H498</f>
        <v>-724035</v>
      </c>
      <c r="I548" s="60">
        <f>PSK_AT_verzia_4_0!I548-PSK_AT_verzia_3_5!I498</f>
        <v>0</v>
      </c>
      <c r="J548" s="60">
        <f>PSK_AT_verzia_4_0!J548-PSK_AT_verzia_3_5!J498</f>
        <v>-724035</v>
      </c>
      <c r="K548" s="60">
        <f>PSK_AT_verzia_4_0!K548-PSK_AT_verzia_3_5!K498</f>
        <v>-724035</v>
      </c>
      <c r="L548" s="60">
        <f>PSK_AT_verzia_4_0!L548-PSK_AT_verzia_3_5!L498</f>
        <v>0</v>
      </c>
      <c r="M548" s="60">
        <f>PSK_AT_verzia_4_0!M548-PSK_AT_verzia_3_5!M498</f>
        <v>0</v>
      </c>
      <c r="N548" s="60">
        <f>PSK_AT_verzia_4_0!N548-PSK_AT_verzia_3_5!N498</f>
        <v>0</v>
      </c>
      <c r="O548" s="60">
        <f>PSK_AT_verzia_4_0!O548-PSK_AT_verzia_3_5!O498</f>
        <v>0</v>
      </c>
      <c r="P548" s="60">
        <f>PSK_AT_verzia_4_0!P548-PSK_AT_verzia_3_5!P498</f>
        <v>0</v>
      </c>
      <c r="Q548" s="60">
        <f>PSK_AT_verzia_4_0!Q548-PSK_AT_verzia_3_5!Q498</f>
        <v>0</v>
      </c>
    </row>
    <row r="549" spans="1:17" ht="28" customHeight="1" x14ac:dyDescent="0.35">
      <c r="A549" s="234"/>
      <c r="B549" s="235"/>
      <c r="C549" s="200">
        <f>PSK_AT_verzia_4_0!C549-PSK_AT_verzia_3_5!C499</f>
        <v>0</v>
      </c>
      <c r="D549" s="200">
        <f>PSK_AT_verzia_4_0!D549-PSK_AT_verzia_3_5!D499</f>
        <v>0</v>
      </c>
      <c r="E549" s="200">
        <f>PSK_AT_verzia_4_0!E549-PSK_AT_verzia_3_5!E499</f>
        <v>0</v>
      </c>
      <c r="F549" s="66" t="s">
        <v>37</v>
      </c>
      <c r="G549" s="67">
        <f>PSK_AT_verzia_4_0!G549-PSK_AT_verzia_3_5!G499</f>
        <v>0</v>
      </c>
      <c r="H549" s="67">
        <f>PSK_AT_verzia_4_0!H549-PSK_AT_verzia_3_5!H499</f>
        <v>0</v>
      </c>
      <c r="I549" s="67">
        <f>PSK_AT_verzia_4_0!I549-PSK_AT_verzia_3_5!I499</f>
        <v>0</v>
      </c>
      <c r="J549" s="67">
        <f>PSK_AT_verzia_4_0!J549-PSK_AT_verzia_3_5!J499</f>
        <v>0</v>
      </c>
      <c r="K549" s="67">
        <f>PSK_AT_verzia_4_0!K549-PSK_AT_verzia_3_5!K499</f>
        <v>0</v>
      </c>
      <c r="L549" s="67">
        <f>PSK_AT_verzia_4_0!L549-PSK_AT_verzia_3_5!L499</f>
        <v>0</v>
      </c>
      <c r="M549" s="67">
        <f>PSK_AT_verzia_4_0!M549-PSK_AT_verzia_3_5!M499</f>
        <v>0</v>
      </c>
      <c r="N549" s="67">
        <f>PSK_AT_verzia_4_0!N549-PSK_AT_verzia_3_5!N499</f>
        <v>0</v>
      </c>
      <c r="O549" s="67">
        <f>PSK_AT_verzia_4_0!O549-PSK_AT_verzia_3_5!O499</f>
        <v>0</v>
      </c>
      <c r="P549" s="67">
        <f>PSK_AT_verzia_4_0!P549-PSK_AT_verzia_3_5!P499</f>
        <v>0</v>
      </c>
      <c r="Q549" s="67">
        <f>PSK_AT_verzia_4_0!Q549-PSK_AT_verzia_3_5!Q499</f>
        <v>0</v>
      </c>
    </row>
    <row r="550" spans="1:17" ht="28" customHeight="1" x14ac:dyDescent="0.35">
      <c r="A550" s="234"/>
      <c r="B550" s="235"/>
      <c r="C550" s="200">
        <f>PSK_AT_verzia_4_0!C550-PSK_AT_verzia_3_5!C500</f>
        <v>0</v>
      </c>
      <c r="D550" s="200">
        <f>PSK_AT_verzia_4_0!D550-PSK_AT_verzia_3_5!D500</f>
        <v>0</v>
      </c>
      <c r="E550" s="200">
        <f>PSK_AT_verzia_4_0!E550-PSK_AT_verzia_3_5!E500</f>
        <v>0</v>
      </c>
      <c r="F550" s="66" t="s">
        <v>38</v>
      </c>
      <c r="G550" s="71">
        <f>PSK_AT_verzia_4_0!G550-PSK_AT_verzia_3_5!G500</f>
        <v>-724035</v>
      </c>
      <c r="H550" s="71">
        <f>PSK_AT_verzia_4_0!H550-PSK_AT_verzia_3_5!H500</f>
        <v>-724035</v>
      </c>
      <c r="I550" s="71">
        <f>PSK_AT_verzia_4_0!I550-PSK_AT_verzia_3_5!I500</f>
        <v>0</v>
      </c>
      <c r="J550" s="71">
        <f>PSK_AT_verzia_4_0!J550-PSK_AT_verzia_3_5!J500</f>
        <v>-724035</v>
      </c>
      <c r="K550" s="71">
        <f>PSK_AT_verzia_4_0!K550-PSK_AT_verzia_3_5!K500</f>
        <v>-724035</v>
      </c>
      <c r="L550" s="71">
        <f>PSK_AT_verzia_4_0!L550-PSK_AT_verzia_3_5!L500</f>
        <v>0</v>
      </c>
      <c r="M550" s="71">
        <f>PSK_AT_verzia_4_0!M550-PSK_AT_verzia_3_5!M500</f>
        <v>0</v>
      </c>
      <c r="N550" s="71">
        <f>PSK_AT_verzia_4_0!N550-PSK_AT_verzia_3_5!N500</f>
        <v>0</v>
      </c>
      <c r="O550" s="71">
        <f>PSK_AT_verzia_4_0!O550-PSK_AT_verzia_3_5!O500</f>
        <v>0</v>
      </c>
      <c r="P550" s="71">
        <f>PSK_AT_verzia_4_0!P550-PSK_AT_verzia_3_5!P500</f>
        <v>0</v>
      </c>
      <c r="Q550" s="71">
        <f>PSK_AT_verzia_4_0!Q550-PSK_AT_verzia_3_5!Q500</f>
        <v>0</v>
      </c>
    </row>
    <row r="551" spans="1:17" ht="28" customHeight="1" x14ac:dyDescent="0.35">
      <c r="A551" s="234"/>
      <c r="B551" s="235"/>
      <c r="C551" s="200">
        <f>PSK_AT_verzia_4_0!C551-PSK_AT_verzia_3_5!C501</f>
        <v>0</v>
      </c>
      <c r="D551" s="200">
        <f>PSK_AT_verzia_4_0!D551-PSK_AT_verzia_3_5!D501</f>
        <v>0</v>
      </c>
      <c r="E551" s="200">
        <f>PSK_AT_verzia_4_0!E551-PSK_AT_verzia_3_5!E501</f>
        <v>0</v>
      </c>
      <c r="F551" s="66" t="s">
        <v>39</v>
      </c>
      <c r="G551" s="71">
        <f>PSK_AT_verzia_4_0!G551-PSK_AT_verzia_3_5!G501</f>
        <v>0</v>
      </c>
      <c r="H551" s="71">
        <f>PSK_AT_verzia_4_0!H551-PSK_AT_verzia_3_5!H501</f>
        <v>0</v>
      </c>
      <c r="I551" s="71">
        <f>PSK_AT_verzia_4_0!I551-PSK_AT_verzia_3_5!I501</f>
        <v>0</v>
      </c>
      <c r="J551" s="71">
        <f>PSK_AT_verzia_4_0!J551-PSK_AT_verzia_3_5!J501</f>
        <v>0</v>
      </c>
      <c r="K551" s="71">
        <f>PSK_AT_verzia_4_0!K551-PSK_AT_verzia_3_5!K501</f>
        <v>0</v>
      </c>
      <c r="L551" s="71">
        <f>PSK_AT_verzia_4_0!L551-PSK_AT_verzia_3_5!L501</f>
        <v>0</v>
      </c>
      <c r="M551" s="71">
        <f>PSK_AT_verzia_4_0!M551-PSK_AT_verzia_3_5!M501</f>
        <v>0</v>
      </c>
      <c r="N551" s="71">
        <f>PSK_AT_verzia_4_0!N551-PSK_AT_verzia_3_5!N501</f>
        <v>0</v>
      </c>
      <c r="O551" s="71">
        <f>PSK_AT_verzia_4_0!O551-PSK_AT_verzia_3_5!O501</f>
        <v>0</v>
      </c>
      <c r="P551" s="71">
        <f>PSK_AT_verzia_4_0!P551-PSK_AT_verzia_3_5!P501</f>
        <v>0</v>
      </c>
      <c r="Q551" s="71">
        <f>PSK_AT_verzia_4_0!Q551-PSK_AT_verzia_3_5!Q501</f>
        <v>0</v>
      </c>
    </row>
    <row r="552" spans="1:17" ht="28" customHeight="1" x14ac:dyDescent="0.35">
      <c r="A552" s="234" t="s">
        <v>431</v>
      </c>
      <c r="B552" s="235" t="s">
        <v>414</v>
      </c>
      <c r="C552" s="57">
        <f>PSK_AT_verzia_4_0!C552-PSK_AT_verzia_3_5!C502</f>
        <v>3776998</v>
      </c>
      <c r="D552" s="57">
        <f>PSK_AT_verzia_4_0!D552-PSK_AT_verzia_3_5!D502</f>
        <v>0</v>
      </c>
      <c r="E552" s="57">
        <f>PSK_AT_verzia_4_0!E552-PSK_AT_verzia_3_5!E502</f>
        <v>0</v>
      </c>
      <c r="F552" s="59" t="s">
        <v>432</v>
      </c>
      <c r="G552" s="58">
        <f>PSK_AT_verzia_4_0!G552-PSK_AT_verzia_3_5!G502</f>
        <v>3776998</v>
      </c>
      <c r="H552" s="58">
        <f>PSK_AT_verzia_4_0!H552-PSK_AT_verzia_3_5!H502</f>
        <v>3776998</v>
      </c>
      <c r="I552" s="58">
        <f>PSK_AT_verzia_4_0!I552-PSK_AT_verzia_3_5!I502</f>
        <v>0</v>
      </c>
      <c r="J552" s="58">
        <f>PSK_AT_verzia_4_0!J552-PSK_AT_verzia_3_5!J502</f>
        <v>3776998</v>
      </c>
      <c r="K552" s="58">
        <f>PSK_AT_verzia_4_0!K552-PSK_AT_verzia_3_5!K502</f>
        <v>3776998</v>
      </c>
      <c r="L552" s="58">
        <f>PSK_AT_verzia_4_0!L552-PSK_AT_verzia_3_5!L502</f>
        <v>0</v>
      </c>
      <c r="M552" s="58">
        <f>PSK_AT_verzia_4_0!M552-PSK_AT_verzia_3_5!M502</f>
        <v>0</v>
      </c>
      <c r="N552" s="58">
        <f>PSK_AT_verzia_4_0!N552-PSK_AT_verzia_3_5!N502</f>
        <v>0</v>
      </c>
      <c r="O552" s="58">
        <f>PSK_AT_verzia_4_0!O552-PSK_AT_verzia_3_5!O502</f>
        <v>0</v>
      </c>
      <c r="P552" s="58">
        <f>PSK_AT_verzia_4_0!P552-PSK_AT_verzia_3_5!P502</f>
        <v>0</v>
      </c>
      <c r="Q552" s="58">
        <f>PSK_AT_verzia_4_0!Q552-PSK_AT_verzia_3_5!Q502</f>
        <v>0</v>
      </c>
    </row>
    <row r="553" spans="1:17" ht="28" customHeight="1" x14ac:dyDescent="0.35">
      <c r="A553" s="234"/>
      <c r="B553" s="235"/>
      <c r="C553" s="60">
        <f>PSK_AT_verzia_4_0!C553-PSK_AT_verzia_3_5!C503</f>
        <v>3776998</v>
      </c>
      <c r="D553" s="60">
        <f>PSK_AT_verzia_4_0!D553-PSK_AT_verzia_3_5!D503</f>
        <v>0</v>
      </c>
      <c r="E553" s="60">
        <f>PSK_AT_verzia_4_0!E553-PSK_AT_verzia_3_5!E503</f>
        <v>0</v>
      </c>
      <c r="F553" s="61" t="s">
        <v>36</v>
      </c>
      <c r="G553" s="60">
        <f>PSK_AT_verzia_4_0!G553-PSK_AT_verzia_3_5!G503</f>
        <v>3776998</v>
      </c>
      <c r="H553" s="60">
        <f>PSK_AT_verzia_4_0!H553-PSK_AT_verzia_3_5!H503</f>
        <v>3776998</v>
      </c>
      <c r="I553" s="60">
        <f>PSK_AT_verzia_4_0!I553-PSK_AT_verzia_3_5!I503</f>
        <v>0</v>
      </c>
      <c r="J553" s="60">
        <f>PSK_AT_verzia_4_0!J553-PSK_AT_verzia_3_5!J503</f>
        <v>3776998</v>
      </c>
      <c r="K553" s="60">
        <f>PSK_AT_verzia_4_0!K553-PSK_AT_verzia_3_5!K503</f>
        <v>3776998</v>
      </c>
      <c r="L553" s="60">
        <f>PSK_AT_verzia_4_0!L553-PSK_AT_verzia_3_5!L503</f>
        <v>0</v>
      </c>
      <c r="M553" s="60">
        <f>PSK_AT_verzia_4_0!M553-PSK_AT_verzia_3_5!M503</f>
        <v>0</v>
      </c>
      <c r="N553" s="60">
        <f>PSK_AT_verzia_4_0!N553-PSK_AT_verzia_3_5!N503</f>
        <v>0</v>
      </c>
      <c r="O553" s="60">
        <f>PSK_AT_verzia_4_0!O553-PSK_AT_verzia_3_5!O503</f>
        <v>0</v>
      </c>
      <c r="P553" s="60">
        <f>PSK_AT_verzia_4_0!P553-PSK_AT_verzia_3_5!P503</f>
        <v>0</v>
      </c>
      <c r="Q553" s="60">
        <f>PSK_AT_verzia_4_0!Q553-PSK_AT_verzia_3_5!Q503</f>
        <v>0</v>
      </c>
    </row>
    <row r="554" spans="1:17" ht="28" customHeight="1" x14ac:dyDescent="0.35">
      <c r="A554" s="234"/>
      <c r="B554" s="235"/>
      <c r="C554" s="200">
        <f>PSK_AT_verzia_4_0!C554-PSK_AT_verzia_3_5!C504</f>
        <v>0</v>
      </c>
      <c r="D554" s="200">
        <f>PSK_AT_verzia_4_0!D554-PSK_AT_verzia_3_5!D504</f>
        <v>0</v>
      </c>
      <c r="E554" s="200">
        <f>PSK_AT_verzia_4_0!E554-PSK_AT_verzia_3_5!E504</f>
        <v>0</v>
      </c>
      <c r="F554" s="66" t="s">
        <v>37</v>
      </c>
      <c r="G554" s="67">
        <f>PSK_AT_verzia_4_0!G554-PSK_AT_verzia_3_5!G504</f>
        <v>0</v>
      </c>
      <c r="H554" s="67">
        <f>PSK_AT_verzia_4_0!H554-PSK_AT_verzia_3_5!H504</f>
        <v>0</v>
      </c>
      <c r="I554" s="67">
        <f>PSK_AT_verzia_4_0!I554-PSK_AT_verzia_3_5!I504</f>
        <v>0</v>
      </c>
      <c r="J554" s="67">
        <f>PSK_AT_verzia_4_0!J554-PSK_AT_verzia_3_5!J504</f>
        <v>0</v>
      </c>
      <c r="K554" s="67">
        <f>PSK_AT_verzia_4_0!K554-PSK_AT_verzia_3_5!K504</f>
        <v>0</v>
      </c>
      <c r="L554" s="67">
        <f>PSK_AT_verzia_4_0!L554-PSK_AT_verzia_3_5!L504</f>
        <v>0</v>
      </c>
      <c r="M554" s="67">
        <f>PSK_AT_verzia_4_0!M554-PSK_AT_verzia_3_5!M504</f>
        <v>0</v>
      </c>
      <c r="N554" s="67">
        <f>PSK_AT_verzia_4_0!N554-PSK_AT_verzia_3_5!N504</f>
        <v>0</v>
      </c>
      <c r="O554" s="67">
        <f>PSK_AT_verzia_4_0!O554-PSK_AT_verzia_3_5!O504</f>
        <v>0</v>
      </c>
      <c r="P554" s="67">
        <f>PSK_AT_verzia_4_0!P554-PSK_AT_verzia_3_5!P504</f>
        <v>0</v>
      </c>
      <c r="Q554" s="67">
        <f>PSK_AT_verzia_4_0!Q554-PSK_AT_verzia_3_5!Q504</f>
        <v>0</v>
      </c>
    </row>
    <row r="555" spans="1:17" ht="28" customHeight="1" x14ac:dyDescent="0.35">
      <c r="A555" s="234"/>
      <c r="B555" s="235"/>
      <c r="C555" s="200">
        <f>PSK_AT_verzia_4_0!C555-PSK_AT_verzia_3_5!C505</f>
        <v>0</v>
      </c>
      <c r="D555" s="200">
        <f>PSK_AT_verzia_4_0!D555-PSK_AT_verzia_3_5!D505</f>
        <v>0</v>
      </c>
      <c r="E555" s="200">
        <f>PSK_AT_verzia_4_0!E555-PSK_AT_verzia_3_5!E505</f>
        <v>0</v>
      </c>
      <c r="F555" s="66" t="s">
        <v>38</v>
      </c>
      <c r="G555" s="71">
        <f>PSK_AT_verzia_4_0!G555-PSK_AT_verzia_3_5!G505</f>
        <v>3776998</v>
      </c>
      <c r="H555" s="71">
        <f>PSK_AT_verzia_4_0!H555-PSK_AT_verzia_3_5!H505</f>
        <v>3776998</v>
      </c>
      <c r="I555" s="71">
        <f>PSK_AT_verzia_4_0!I555-PSK_AT_verzia_3_5!I505</f>
        <v>0</v>
      </c>
      <c r="J555" s="71">
        <f>PSK_AT_verzia_4_0!J555-PSK_AT_verzia_3_5!J505</f>
        <v>3776998</v>
      </c>
      <c r="K555" s="71">
        <f>PSK_AT_verzia_4_0!K555-PSK_AT_verzia_3_5!K505</f>
        <v>3776998</v>
      </c>
      <c r="L555" s="71">
        <f>PSK_AT_verzia_4_0!L555-PSK_AT_verzia_3_5!L505</f>
        <v>0</v>
      </c>
      <c r="M555" s="71">
        <f>PSK_AT_verzia_4_0!M555-PSK_AT_verzia_3_5!M505</f>
        <v>0</v>
      </c>
      <c r="N555" s="71">
        <f>PSK_AT_verzia_4_0!N555-PSK_AT_verzia_3_5!N505</f>
        <v>0</v>
      </c>
      <c r="O555" s="71">
        <f>PSK_AT_verzia_4_0!O555-PSK_AT_verzia_3_5!O505</f>
        <v>0</v>
      </c>
      <c r="P555" s="71">
        <f>PSK_AT_verzia_4_0!P555-PSK_AT_verzia_3_5!P505</f>
        <v>0</v>
      </c>
      <c r="Q555" s="71">
        <f>PSK_AT_verzia_4_0!Q555-PSK_AT_verzia_3_5!Q505</f>
        <v>0</v>
      </c>
    </row>
    <row r="556" spans="1:17" ht="28" customHeight="1" x14ac:dyDescent="0.35">
      <c r="A556" s="234"/>
      <c r="B556" s="235"/>
      <c r="C556" s="200">
        <f>PSK_AT_verzia_4_0!C556-PSK_AT_verzia_3_5!C506</f>
        <v>0</v>
      </c>
      <c r="D556" s="200">
        <f>PSK_AT_verzia_4_0!D556-PSK_AT_verzia_3_5!D506</f>
        <v>0</v>
      </c>
      <c r="E556" s="200">
        <f>PSK_AT_verzia_4_0!E556-PSK_AT_verzia_3_5!E506</f>
        <v>0</v>
      </c>
      <c r="F556" s="66" t="s">
        <v>39</v>
      </c>
      <c r="G556" s="71">
        <f>PSK_AT_verzia_4_0!G556-PSK_AT_verzia_3_5!G506</f>
        <v>0</v>
      </c>
      <c r="H556" s="71">
        <f>PSK_AT_verzia_4_0!H556-PSK_AT_verzia_3_5!H506</f>
        <v>0</v>
      </c>
      <c r="I556" s="71">
        <f>PSK_AT_verzia_4_0!I556-PSK_AT_verzia_3_5!I506</f>
        <v>0</v>
      </c>
      <c r="J556" s="71">
        <f>PSK_AT_verzia_4_0!J556-PSK_AT_verzia_3_5!J506</f>
        <v>0</v>
      </c>
      <c r="K556" s="71">
        <f>PSK_AT_verzia_4_0!K556-PSK_AT_verzia_3_5!K506</f>
        <v>0</v>
      </c>
      <c r="L556" s="71">
        <f>PSK_AT_verzia_4_0!L556-PSK_AT_verzia_3_5!L506</f>
        <v>0</v>
      </c>
      <c r="M556" s="71">
        <f>PSK_AT_verzia_4_0!M556-PSK_AT_verzia_3_5!M506</f>
        <v>0</v>
      </c>
      <c r="N556" s="71">
        <f>PSK_AT_verzia_4_0!N556-PSK_AT_verzia_3_5!N506</f>
        <v>0</v>
      </c>
      <c r="O556" s="71">
        <f>PSK_AT_verzia_4_0!O556-PSK_AT_verzia_3_5!O506</f>
        <v>0</v>
      </c>
      <c r="P556" s="71">
        <f>PSK_AT_verzia_4_0!P556-PSK_AT_verzia_3_5!P506</f>
        <v>0</v>
      </c>
      <c r="Q556" s="71">
        <f>PSK_AT_verzia_4_0!Q556-PSK_AT_verzia_3_5!Q506</f>
        <v>0</v>
      </c>
    </row>
    <row r="557" spans="1:17" ht="28" customHeight="1" x14ac:dyDescent="0.35">
      <c r="A557" s="236" t="s">
        <v>433</v>
      </c>
      <c r="B557" s="235" t="s">
        <v>417</v>
      </c>
      <c r="C557" s="57">
        <f>PSK_AT_verzia_4_0!C557-PSK_AT_verzia_3_5!C507</f>
        <v>-3257522</v>
      </c>
      <c r="D557" s="57">
        <f>PSK_AT_verzia_4_0!D557-PSK_AT_verzia_3_5!D507</f>
        <v>0</v>
      </c>
      <c r="E557" s="57">
        <f>PSK_AT_verzia_4_0!E557-PSK_AT_verzia_3_5!E507</f>
        <v>0</v>
      </c>
      <c r="F557" s="59" t="s">
        <v>434</v>
      </c>
      <c r="G557" s="58">
        <f>PSK_AT_verzia_4_0!G557-PSK_AT_verzia_3_5!G507</f>
        <v>-3257522</v>
      </c>
      <c r="H557" s="58">
        <f>PSK_AT_verzia_4_0!H557-PSK_AT_verzia_3_5!H507</f>
        <v>-3257522</v>
      </c>
      <c r="I557" s="58">
        <f>PSK_AT_verzia_4_0!I557-PSK_AT_verzia_3_5!I507</f>
        <v>0</v>
      </c>
      <c r="J557" s="58">
        <f>PSK_AT_verzia_4_0!J557-PSK_AT_verzia_3_5!J507</f>
        <v>-3257522</v>
      </c>
      <c r="K557" s="58">
        <f>PSK_AT_verzia_4_0!K557-PSK_AT_verzia_3_5!K507</f>
        <v>-3257522</v>
      </c>
      <c r="L557" s="58">
        <f>PSK_AT_verzia_4_0!L557-PSK_AT_verzia_3_5!L507</f>
        <v>0</v>
      </c>
      <c r="M557" s="58">
        <f>PSK_AT_verzia_4_0!M557-PSK_AT_verzia_3_5!M507</f>
        <v>0</v>
      </c>
      <c r="N557" s="58">
        <f>PSK_AT_verzia_4_0!N557-PSK_AT_verzia_3_5!N507</f>
        <v>0</v>
      </c>
      <c r="O557" s="58">
        <f>PSK_AT_verzia_4_0!O557-PSK_AT_verzia_3_5!O507</f>
        <v>0</v>
      </c>
      <c r="P557" s="58">
        <f>PSK_AT_verzia_4_0!P557-PSK_AT_verzia_3_5!P507</f>
        <v>0</v>
      </c>
      <c r="Q557" s="58">
        <f>PSK_AT_verzia_4_0!Q557-PSK_AT_verzia_3_5!Q507</f>
        <v>0</v>
      </c>
    </row>
    <row r="558" spans="1:17" ht="28" customHeight="1" x14ac:dyDescent="0.35">
      <c r="A558" s="237"/>
      <c r="B558" s="235"/>
      <c r="C558" s="60">
        <f>PSK_AT_verzia_4_0!C558-PSK_AT_verzia_3_5!C508</f>
        <v>-3257522</v>
      </c>
      <c r="D558" s="60">
        <f>PSK_AT_verzia_4_0!D558-PSK_AT_verzia_3_5!D508</f>
        <v>0</v>
      </c>
      <c r="E558" s="60">
        <f>PSK_AT_verzia_4_0!E558-PSK_AT_verzia_3_5!E508</f>
        <v>0</v>
      </c>
      <c r="F558" s="61" t="s">
        <v>36</v>
      </c>
      <c r="G558" s="60">
        <f>PSK_AT_verzia_4_0!G558-PSK_AT_verzia_3_5!G508</f>
        <v>-3257522</v>
      </c>
      <c r="H558" s="60">
        <f>PSK_AT_verzia_4_0!H558-PSK_AT_verzia_3_5!H508</f>
        <v>-3257522</v>
      </c>
      <c r="I558" s="60">
        <f>PSK_AT_verzia_4_0!I558-PSK_AT_verzia_3_5!I508</f>
        <v>0</v>
      </c>
      <c r="J558" s="60">
        <f>PSK_AT_verzia_4_0!J558-PSK_AT_verzia_3_5!J508</f>
        <v>-3257522</v>
      </c>
      <c r="K558" s="60">
        <f>PSK_AT_verzia_4_0!K558-PSK_AT_verzia_3_5!K508</f>
        <v>-3257522</v>
      </c>
      <c r="L558" s="60">
        <f>PSK_AT_verzia_4_0!L558-PSK_AT_verzia_3_5!L508</f>
        <v>0</v>
      </c>
      <c r="M558" s="60">
        <f>PSK_AT_verzia_4_0!M558-PSK_AT_verzia_3_5!M508</f>
        <v>0</v>
      </c>
      <c r="N558" s="60">
        <f>PSK_AT_verzia_4_0!N558-PSK_AT_verzia_3_5!N508</f>
        <v>0</v>
      </c>
      <c r="O558" s="60">
        <f>PSK_AT_verzia_4_0!O558-PSK_AT_verzia_3_5!O508</f>
        <v>0</v>
      </c>
      <c r="P558" s="60">
        <f>PSK_AT_verzia_4_0!P558-PSK_AT_verzia_3_5!P508</f>
        <v>0</v>
      </c>
      <c r="Q558" s="60">
        <f>PSK_AT_verzia_4_0!Q558-PSK_AT_verzia_3_5!Q508</f>
        <v>0</v>
      </c>
    </row>
    <row r="559" spans="1:17" ht="28" customHeight="1" x14ac:dyDescent="0.35">
      <c r="A559" s="237"/>
      <c r="B559" s="235"/>
      <c r="C559" s="200">
        <f>PSK_AT_verzia_4_0!C559-PSK_AT_verzia_3_5!C509</f>
        <v>0</v>
      </c>
      <c r="D559" s="200">
        <f>PSK_AT_verzia_4_0!D559-PSK_AT_verzia_3_5!D509</f>
        <v>0</v>
      </c>
      <c r="E559" s="200">
        <f>PSK_AT_verzia_4_0!E559-PSK_AT_verzia_3_5!E509</f>
        <v>0</v>
      </c>
      <c r="F559" s="66" t="s">
        <v>37</v>
      </c>
      <c r="G559" s="67">
        <f>PSK_AT_verzia_4_0!G559-PSK_AT_verzia_3_5!G509</f>
        <v>0</v>
      </c>
      <c r="H559" s="67">
        <f>PSK_AT_verzia_4_0!H559-PSK_AT_verzia_3_5!H509</f>
        <v>0</v>
      </c>
      <c r="I559" s="67">
        <f>PSK_AT_verzia_4_0!I559-PSK_AT_verzia_3_5!I509</f>
        <v>0</v>
      </c>
      <c r="J559" s="67">
        <f>PSK_AT_verzia_4_0!J559-PSK_AT_verzia_3_5!J509</f>
        <v>0</v>
      </c>
      <c r="K559" s="67">
        <f>PSK_AT_verzia_4_0!K559-PSK_AT_verzia_3_5!K509</f>
        <v>0</v>
      </c>
      <c r="L559" s="67">
        <f>PSK_AT_verzia_4_0!L559-PSK_AT_verzia_3_5!L509</f>
        <v>0</v>
      </c>
      <c r="M559" s="67">
        <f>PSK_AT_verzia_4_0!M559-PSK_AT_verzia_3_5!M509</f>
        <v>0</v>
      </c>
      <c r="N559" s="67">
        <f>PSK_AT_verzia_4_0!N559-PSK_AT_verzia_3_5!N509</f>
        <v>0</v>
      </c>
      <c r="O559" s="67">
        <f>PSK_AT_verzia_4_0!O559-PSK_AT_verzia_3_5!O509</f>
        <v>0</v>
      </c>
      <c r="P559" s="67">
        <f>PSK_AT_verzia_4_0!P559-PSK_AT_verzia_3_5!P509</f>
        <v>0</v>
      </c>
      <c r="Q559" s="67">
        <f>PSK_AT_verzia_4_0!Q559-PSK_AT_verzia_3_5!Q509</f>
        <v>0</v>
      </c>
    </row>
    <row r="560" spans="1:17" ht="28" customHeight="1" x14ac:dyDescent="0.35">
      <c r="A560" s="237"/>
      <c r="B560" s="235"/>
      <c r="C560" s="200">
        <f>PSK_AT_verzia_4_0!C560-PSK_AT_verzia_3_5!C510</f>
        <v>0</v>
      </c>
      <c r="D560" s="200">
        <f>PSK_AT_verzia_4_0!D560-PSK_AT_verzia_3_5!D510</f>
        <v>0</v>
      </c>
      <c r="E560" s="200">
        <f>PSK_AT_verzia_4_0!E560-PSK_AT_verzia_3_5!E510</f>
        <v>0</v>
      </c>
      <c r="F560" s="66" t="s">
        <v>38</v>
      </c>
      <c r="G560" s="71">
        <f>PSK_AT_verzia_4_0!G560-PSK_AT_verzia_3_5!G510</f>
        <v>-3257522</v>
      </c>
      <c r="H560" s="71">
        <f>PSK_AT_verzia_4_0!H560-PSK_AT_verzia_3_5!H510</f>
        <v>-3257522</v>
      </c>
      <c r="I560" s="71">
        <f>PSK_AT_verzia_4_0!I560-PSK_AT_verzia_3_5!I510</f>
        <v>0</v>
      </c>
      <c r="J560" s="71">
        <f>PSK_AT_verzia_4_0!J560-PSK_AT_verzia_3_5!J510</f>
        <v>-3257522</v>
      </c>
      <c r="K560" s="71">
        <f>PSK_AT_verzia_4_0!K560-PSK_AT_verzia_3_5!K510</f>
        <v>-3257522</v>
      </c>
      <c r="L560" s="71">
        <f>PSK_AT_verzia_4_0!L560-PSK_AT_verzia_3_5!L510</f>
        <v>0</v>
      </c>
      <c r="M560" s="71">
        <f>PSK_AT_verzia_4_0!M560-PSK_AT_verzia_3_5!M510</f>
        <v>0</v>
      </c>
      <c r="N560" s="71">
        <f>PSK_AT_verzia_4_0!N560-PSK_AT_verzia_3_5!N510</f>
        <v>0</v>
      </c>
      <c r="O560" s="71">
        <f>PSK_AT_verzia_4_0!O560-PSK_AT_verzia_3_5!O510</f>
        <v>0</v>
      </c>
      <c r="P560" s="71">
        <f>PSK_AT_verzia_4_0!P560-PSK_AT_verzia_3_5!P510</f>
        <v>0</v>
      </c>
      <c r="Q560" s="71">
        <f>PSK_AT_verzia_4_0!Q560-PSK_AT_verzia_3_5!Q510</f>
        <v>0</v>
      </c>
    </row>
    <row r="561" spans="1:17" ht="28" customHeight="1" x14ac:dyDescent="0.35">
      <c r="A561" s="238"/>
      <c r="B561" s="235"/>
      <c r="C561" s="200">
        <f>PSK_AT_verzia_4_0!C561-PSK_AT_verzia_3_5!C511</f>
        <v>0</v>
      </c>
      <c r="D561" s="200">
        <f>PSK_AT_verzia_4_0!D561-PSK_AT_verzia_3_5!D511</f>
        <v>0</v>
      </c>
      <c r="E561" s="200">
        <f>PSK_AT_verzia_4_0!E561-PSK_AT_verzia_3_5!E511</f>
        <v>0</v>
      </c>
      <c r="F561" s="66" t="s">
        <v>39</v>
      </c>
      <c r="G561" s="71">
        <f>PSK_AT_verzia_4_0!G561-PSK_AT_verzia_3_5!G511</f>
        <v>0</v>
      </c>
      <c r="H561" s="71">
        <f>PSK_AT_verzia_4_0!H561-PSK_AT_verzia_3_5!H511</f>
        <v>0</v>
      </c>
      <c r="I561" s="71">
        <f>PSK_AT_verzia_4_0!I561-PSK_AT_verzia_3_5!I511</f>
        <v>0</v>
      </c>
      <c r="J561" s="71">
        <f>PSK_AT_verzia_4_0!J561-PSK_AT_verzia_3_5!J511</f>
        <v>0</v>
      </c>
      <c r="K561" s="71">
        <f>PSK_AT_verzia_4_0!K561-PSK_AT_verzia_3_5!K511</f>
        <v>0</v>
      </c>
      <c r="L561" s="71">
        <f>PSK_AT_verzia_4_0!L561-PSK_AT_verzia_3_5!L511</f>
        <v>0</v>
      </c>
      <c r="M561" s="71">
        <f>PSK_AT_verzia_4_0!M561-PSK_AT_verzia_3_5!M511</f>
        <v>0</v>
      </c>
      <c r="N561" s="71">
        <f>PSK_AT_verzia_4_0!N561-PSK_AT_verzia_3_5!N511</f>
        <v>0</v>
      </c>
      <c r="O561" s="71">
        <f>PSK_AT_verzia_4_0!O561-PSK_AT_verzia_3_5!O511</f>
        <v>0</v>
      </c>
      <c r="P561" s="71">
        <f>PSK_AT_verzia_4_0!P561-PSK_AT_verzia_3_5!P511</f>
        <v>0</v>
      </c>
      <c r="Q561" s="71">
        <f>PSK_AT_verzia_4_0!Q561-PSK_AT_verzia_3_5!Q511</f>
        <v>0</v>
      </c>
    </row>
    <row r="562" spans="1:17" ht="28" customHeight="1" x14ac:dyDescent="0.35">
      <c r="A562" s="45" t="s">
        <v>778</v>
      </c>
      <c r="B562" s="46" t="s">
        <v>776</v>
      </c>
      <c r="C562" s="47">
        <f>PSK_AT_verzia_4_0!C562</f>
        <v>41532797</v>
      </c>
      <c r="D562" s="47">
        <f>PSK_AT_verzia_4_0!D562</f>
        <v>0</v>
      </c>
      <c r="E562" s="47">
        <f>PSK_AT_verzia_4_0!E562</f>
        <v>0</v>
      </c>
      <c r="F562" s="49"/>
      <c r="G562" s="48">
        <f>PSK_AT_verzia_4_0!G562</f>
        <v>41532797</v>
      </c>
      <c r="H562" s="48">
        <f>PSK_AT_verzia_4_0!H562</f>
        <v>40532797</v>
      </c>
      <c r="I562" s="48">
        <f>PSK_AT_verzia_4_0!I562</f>
        <v>1000000</v>
      </c>
      <c r="J562" s="48">
        <f>PSK_AT_verzia_4_0!J562</f>
        <v>41532797</v>
      </c>
      <c r="K562" s="48">
        <f>PSK_AT_verzia_4_0!K562</f>
        <v>40532797</v>
      </c>
      <c r="L562" s="48">
        <f>PSK_AT_verzia_4_0!L562</f>
        <v>1000000</v>
      </c>
      <c r="M562" s="48">
        <f>PSK_AT_verzia_4_0!M562</f>
        <v>0</v>
      </c>
      <c r="N562" s="48">
        <f>PSK_AT_verzia_4_0!N562</f>
        <v>0</v>
      </c>
      <c r="O562" s="48">
        <f>PSK_AT_verzia_4_0!O562</f>
        <v>0</v>
      </c>
      <c r="P562" s="48">
        <f>PSK_AT_verzia_4_0!P562</f>
        <v>0</v>
      </c>
      <c r="Q562" s="48">
        <f>PSK_AT_verzia_4_0!Q562</f>
        <v>0</v>
      </c>
    </row>
    <row r="563" spans="1:17" ht="28" customHeight="1" x14ac:dyDescent="0.35">
      <c r="A563" s="228" t="s">
        <v>775</v>
      </c>
      <c r="B563" s="231" t="s">
        <v>777</v>
      </c>
      <c r="C563" s="52">
        <f>PSK_AT_verzia_4_0!C563</f>
        <v>41532797</v>
      </c>
      <c r="D563" s="52">
        <f>PSK_AT_verzia_4_0!D563</f>
        <v>0</v>
      </c>
      <c r="E563" s="52">
        <f>PSK_AT_verzia_4_0!E563</f>
        <v>0</v>
      </c>
      <c r="F563" s="54" t="s">
        <v>774</v>
      </c>
      <c r="G563" s="52">
        <f>PSK_AT_verzia_4_0!G563</f>
        <v>41532797</v>
      </c>
      <c r="H563" s="52">
        <f>PSK_AT_verzia_4_0!H563</f>
        <v>40532797</v>
      </c>
      <c r="I563" s="52">
        <f>PSK_AT_verzia_4_0!I563</f>
        <v>1000000</v>
      </c>
      <c r="J563" s="52">
        <f>PSK_AT_verzia_4_0!J563</f>
        <v>41532797</v>
      </c>
      <c r="K563" s="52">
        <f>PSK_AT_verzia_4_0!K563</f>
        <v>40532797</v>
      </c>
      <c r="L563" s="52">
        <f>PSK_AT_verzia_4_0!L563</f>
        <v>1000000</v>
      </c>
      <c r="M563" s="52">
        <f>PSK_AT_verzia_4_0!M563</f>
        <v>0</v>
      </c>
      <c r="N563" s="52">
        <f>PSK_AT_verzia_4_0!N563</f>
        <v>0</v>
      </c>
      <c r="O563" s="52">
        <f>PSK_AT_verzia_4_0!O563</f>
        <v>0</v>
      </c>
      <c r="P563" s="52">
        <f>PSK_AT_verzia_4_0!P563</f>
        <v>0</v>
      </c>
      <c r="Q563" s="52">
        <f>PSK_AT_verzia_4_0!Q563</f>
        <v>0</v>
      </c>
    </row>
    <row r="564" spans="1:17" ht="28" customHeight="1" x14ac:dyDescent="0.35">
      <c r="A564" s="229"/>
      <c r="B564" s="232"/>
      <c r="C564" s="69">
        <f>PSK_AT_verzia_4_0!C564</f>
        <v>41532797</v>
      </c>
      <c r="D564" s="60">
        <f>PSK_AT_verzia_4_0!D564</f>
        <v>0</v>
      </c>
      <c r="E564" s="60">
        <f>PSK_AT_verzia_4_0!E564</f>
        <v>0</v>
      </c>
      <c r="F564" s="61" t="s">
        <v>115</v>
      </c>
      <c r="G564" s="60">
        <f>PSK_AT_verzia_4_0!G564</f>
        <v>41532797</v>
      </c>
      <c r="H564" s="60">
        <f>PSK_AT_verzia_4_0!H564</f>
        <v>40532797</v>
      </c>
      <c r="I564" s="60">
        <f>PSK_AT_verzia_4_0!I564</f>
        <v>1000000</v>
      </c>
      <c r="J564" s="60">
        <f>PSK_AT_verzia_4_0!J564</f>
        <v>41532797</v>
      </c>
      <c r="K564" s="60">
        <f>PSK_AT_verzia_4_0!K564</f>
        <v>40532797</v>
      </c>
      <c r="L564" s="60">
        <f>PSK_AT_verzia_4_0!L564</f>
        <v>1000000</v>
      </c>
      <c r="M564" s="60">
        <f>PSK_AT_verzia_4_0!M564</f>
        <v>0</v>
      </c>
      <c r="N564" s="60">
        <f>PSK_AT_verzia_4_0!N564</f>
        <v>0</v>
      </c>
      <c r="O564" s="60">
        <f>PSK_AT_verzia_4_0!O564</f>
        <v>0</v>
      </c>
      <c r="P564" s="60">
        <f>PSK_AT_verzia_4_0!P564</f>
        <v>0</v>
      </c>
      <c r="Q564" s="60">
        <f>PSK_AT_verzia_4_0!Q564</f>
        <v>0</v>
      </c>
    </row>
    <row r="565" spans="1:17" ht="28" customHeight="1" x14ac:dyDescent="0.35">
      <c r="A565" s="229"/>
      <c r="B565" s="232"/>
      <c r="C565" s="199">
        <f>PSK_AT_verzia_4_0!C565</f>
        <v>0</v>
      </c>
      <c r="D565" s="200">
        <f>PSK_AT_verzia_4_0!D565</f>
        <v>0</v>
      </c>
      <c r="E565" s="200">
        <f>PSK_AT_verzia_4_0!E565</f>
        <v>0</v>
      </c>
      <c r="F565" s="66" t="s">
        <v>275</v>
      </c>
      <c r="G565" s="71">
        <f>PSK_AT_verzia_4_0!G565</f>
        <v>25764255</v>
      </c>
      <c r="H565" s="71">
        <f>PSK_AT_verzia_4_0!H565</f>
        <v>25764255</v>
      </c>
      <c r="I565" s="71">
        <f>PSK_AT_verzia_4_0!I565</f>
        <v>0</v>
      </c>
      <c r="J565" s="71">
        <f>PSK_AT_verzia_4_0!J565</f>
        <v>25764255</v>
      </c>
      <c r="K565" s="71">
        <f>PSK_AT_verzia_4_0!K565</f>
        <v>25764255</v>
      </c>
      <c r="L565" s="71">
        <f>PSK_AT_verzia_4_0!L565</f>
        <v>0</v>
      </c>
      <c r="M565" s="71">
        <f>PSK_AT_verzia_4_0!M565</f>
        <v>0</v>
      </c>
      <c r="N565" s="71">
        <f>PSK_AT_verzia_4_0!N565</f>
        <v>0</v>
      </c>
      <c r="O565" s="71">
        <f>PSK_AT_verzia_4_0!O565</f>
        <v>0</v>
      </c>
      <c r="P565" s="71">
        <f>PSK_AT_verzia_4_0!P565</f>
        <v>0</v>
      </c>
      <c r="Q565" s="71">
        <f>PSK_AT_verzia_4_0!Q565</f>
        <v>0</v>
      </c>
    </row>
    <row r="566" spans="1:17" ht="28" customHeight="1" x14ac:dyDescent="0.35">
      <c r="A566" s="230"/>
      <c r="B566" s="233"/>
      <c r="C566" s="199">
        <f>PSK_AT_verzia_4_0!C566</f>
        <v>0</v>
      </c>
      <c r="D566" s="200">
        <f>PSK_AT_verzia_4_0!D566</f>
        <v>0</v>
      </c>
      <c r="E566" s="200">
        <f>PSK_AT_verzia_4_0!E566</f>
        <v>0</v>
      </c>
      <c r="F566" s="66" t="s">
        <v>276</v>
      </c>
      <c r="G566" s="71">
        <f>PSK_AT_verzia_4_0!G566</f>
        <v>15768542</v>
      </c>
      <c r="H566" s="71">
        <f>PSK_AT_verzia_4_0!H566</f>
        <v>14768542</v>
      </c>
      <c r="I566" s="71">
        <f>PSK_AT_verzia_4_0!I566</f>
        <v>1000000</v>
      </c>
      <c r="J566" s="71">
        <f>PSK_AT_verzia_4_0!J566</f>
        <v>15768542</v>
      </c>
      <c r="K566" s="71">
        <f>PSK_AT_verzia_4_0!K566</f>
        <v>14768542</v>
      </c>
      <c r="L566" s="71">
        <f>PSK_AT_verzia_4_0!L566</f>
        <v>1000000</v>
      </c>
      <c r="M566" s="71">
        <f>PSK_AT_verzia_4_0!M566</f>
        <v>0</v>
      </c>
      <c r="N566" s="71">
        <f>PSK_AT_verzia_4_0!N566</f>
        <v>0</v>
      </c>
      <c r="O566" s="71">
        <f>PSK_AT_verzia_4_0!O566</f>
        <v>0</v>
      </c>
      <c r="P566" s="71">
        <f>PSK_AT_verzia_4_0!P566</f>
        <v>0</v>
      </c>
      <c r="Q566" s="71">
        <f>PSK_AT_verzia_4_0!Q566</f>
        <v>0</v>
      </c>
    </row>
    <row r="567" spans="1:17" ht="28" customHeight="1" x14ac:dyDescent="0.35">
      <c r="A567" s="45" t="s">
        <v>779</v>
      </c>
      <c r="B567" s="46" t="s">
        <v>780</v>
      </c>
      <c r="C567" s="47">
        <f>PSK_AT_verzia_4_0!C567</f>
        <v>3054480</v>
      </c>
      <c r="D567" s="47">
        <f>PSK_AT_verzia_4_0!D567</f>
        <v>0</v>
      </c>
      <c r="E567" s="47">
        <f>PSK_AT_verzia_4_0!E567</f>
        <v>0</v>
      </c>
      <c r="F567" s="49"/>
      <c r="G567" s="48">
        <f>PSK_AT_verzia_4_0!G567</f>
        <v>3054480</v>
      </c>
      <c r="H567" s="48">
        <f>PSK_AT_verzia_4_0!H567</f>
        <v>2206409</v>
      </c>
      <c r="I567" s="48">
        <f>PSK_AT_verzia_4_0!I567</f>
        <v>848071</v>
      </c>
      <c r="J567" s="48">
        <f>PSK_AT_verzia_4_0!J567</f>
        <v>3054480</v>
      </c>
      <c r="K567" s="48">
        <f>PSK_AT_verzia_4_0!K567</f>
        <v>2206409</v>
      </c>
      <c r="L567" s="48">
        <f>PSK_AT_verzia_4_0!L567</f>
        <v>848071</v>
      </c>
      <c r="M567" s="48">
        <f>PSK_AT_verzia_4_0!M567</f>
        <v>0</v>
      </c>
      <c r="N567" s="48">
        <f>PSK_AT_verzia_4_0!N567</f>
        <v>0</v>
      </c>
      <c r="O567" s="48">
        <f>PSK_AT_verzia_4_0!O567</f>
        <v>0</v>
      </c>
      <c r="P567" s="48">
        <f>PSK_AT_verzia_4_0!P567</f>
        <v>0</v>
      </c>
      <c r="Q567" s="48">
        <f>PSK_AT_verzia_4_0!Q567</f>
        <v>0</v>
      </c>
    </row>
    <row r="568" spans="1:17" ht="28" customHeight="1" x14ac:dyDescent="0.35">
      <c r="A568" s="228" t="s">
        <v>781</v>
      </c>
      <c r="B568" s="231" t="s">
        <v>782</v>
      </c>
      <c r="C568" s="52">
        <f>PSK_AT_verzia_4_0!C568</f>
        <v>3054480</v>
      </c>
      <c r="D568" s="52">
        <f>PSK_AT_verzia_4_0!D568</f>
        <v>0</v>
      </c>
      <c r="E568" s="52">
        <f>PSK_AT_verzia_4_0!E568</f>
        <v>0</v>
      </c>
      <c r="F568" s="54" t="s">
        <v>783</v>
      </c>
      <c r="G568" s="52">
        <f>PSK_AT_verzia_4_0!G568</f>
        <v>3054480</v>
      </c>
      <c r="H568" s="52">
        <f>PSK_AT_verzia_4_0!H568</f>
        <v>2206409</v>
      </c>
      <c r="I568" s="52">
        <f>PSK_AT_verzia_4_0!I568</f>
        <v>848071</v>
      </c>
      <c r="J568" s="52">
        <f>PSK_AT_verzia_4_0!J568</f>
        <v>3054480</v>
      </c>
      <c r="K568" s="52">
        <f>PSK_AT_verzia_4_0!K568</f>
        <v>2206409</v>
      </c>
      <c r="L568" s="52">
        <f>PSK_AT_verzia_4_0!L568</f>
        <v>848071</v>
      </c>
      <c r="M568" s="52">
        <f>PSK_AT_verzia_4_0!M568</f>
        <v>0</v>
      </c>
      <c r="N568" s="52">
        <f>PSK_AT_verzia_4_0!N568</f>
        <v>0</v>
      </c>
      <c r="O568" s="52">
        <f>PSK_AT_verzia_4_0!O568</f>
        <v>0</v>
      </c>
      <c r="P568" s="52">
        <f>PSK_AT_verzia_4_0!P568</f>
        <v>0</v>
      </c>
      <c r="Q568" s="52">
        <f>PSK_AT_verzia_4_0!Q568</f>
        <v>0</v>
      </c>
    </row>
    <row r="569" spans="1:17" ht="28" customHeight="1" x14ac:dyDescent="0.35">
      <c r="A569" s="229"/>
      <c r="B569" s="232"/>
      <c r="C569" s="69">
        <f>PSK_AT_verzia_4_0!C569</f>
        <v>3054480</v>
      </c>
      <c r="D569" s="60">
        <f>PSK_AT_verzia_4_0!D569</f>
        <v>0</v>
      </c>
      <c r="E569" s="60">
        <f>PSK_AT_verzia_4_0!E569</f>
        <v>0</v>
      </c>
      <c r="F569" s="61" t="s">
        <v>36</v>
      </c>
      <c r="G569" s="60">
        <f>PSK_AT_verzia_4_0!G569</f>
        <v>3054480</v>
      </c>
      <c r="H569" s="60">
        <f>PSK_AT_verzia_4_0!H569</f>
        <v>2206409</v>
      </c>
      <c r="I569" s="60">
        <f>PSK_AT_verzia_4_0!I569</f>
        <v>848071</v>
      </c>
      <c r="J569" s="60">
        <f>PSK_AT_verzia_4_0!J569</f>
        <v>3054480</v>
      </c>
      <c r="K569" s="60">
        <f>PSK_AT_verzia_4_0!K569</f>
        <v>2206409</v>
      </c>
      <c r="L569" s="60">
        <f>PSK_AT_verzia_4_0!L569</f>
        <v>848071</v>
      </c>
      <c r="M569" s="60">
        <f>PSK_AT_verzia_4_0!M569</f>
        <v>0</v>
      </c>
      <c r="N569" s="60">
        <f>PSK_AT_verzia_4_0!N569</f>
        <v>0</v>
      </c>
      <c r="O569" s="60">
        <f>PSK_AT_verzia_4_0!O569</f>
        <v>0</v>
      </c>
      <c r="P569" s="60">
        <f>PSK_AT_verzia_4_0!P569</f>
        <v>0</v>
      </c>
      <c r="Q569" s="60">
        <f>PSK_AT_verzia_4_0!Q569</f>
        <v>0</v>
      </c>
    </row>
    <row r="570" spans="1:17" ht="28" customHeight="1" x14ac:dyDescent="0.35">
      <c r="A570" s="229"/>
      <c r="B570" s="232"/>
      <c r="C570" s="199">
        <f>PSK_AT_verzia_4_0!C570</f>
        <v>0</v>
      </c>
      <c r="D570" s="200">
        <f>PSK_AT_verzia_4_0!D570</f>
        <v>0</v>
      </c>
      <c r="E570" s="200">
        <f>PSK_AT_verzia_4_0!E570</f>
        <v>0</v>
      </c>
      <c r="F570" s="66" t="s">
        <v>38</v>
      </c>
      <c r="G570" s="71">
        <f>PSK_AT_verzia_4_0!G570</f>
        <v>0</v>
      </c>
      <c r="H570" s="71">
        <f>PSK_AT_verzia_4_0!H570</f>
        <v>0</v>
      </c>
      <c r="I570" s="71">
        <f>PSK_AT_verzia_4_0!I570</f>
        <v>0</v>
      </c>
      <c r="J570" s="71">
        <f>PSK_AT_verzia_4_0!J570</f>
        <v>0</v>
      </c>
      <c r="K570" s="71">
        <f>PSK_AT_verzia_4_0!K570</f>
        <v>0</v>
      </c>
      <c r="L570" s="71">
        <f>PSK_AT_verzia_4_0!L570</f>
        <v>0</v>
      </c>
      <c r="M570" s="71">
        <f>PSK_AT_verzia_4_0!M570</f>
        <v>0</v>
      </c>
      <c r="N570" s="71">
        <f>PSK_AT_verzia_4_0!N570</f>
        <v>0</v>
      </c>
      <c r="O570" s="71">
        <f>PSK_AT_verzia_4_0!O570</f>
        <v>0</v>
      </c>
      <c r="P570" s="71">
        <f>PSK_AT_verzia_4_0!P570</f>
        <v>0</v>
      </c>
      <c r="Q570" s="71">
        <f>PSK_AT_verzia_4_0!Q570</f>
        <v>0</v>
      </c>
    </row>
    <row r="571" spans="1:17" ht="28" customHeight="1" x14ac:dyDescent="0.35">
      <c r="A571" s="230"/>
      <c r="B571" s="233"/>
      <c r="C571" s="199">
        <f>PSK_AT_verzia_4_0!C571</f>
        <v>0</v>
      </c>
      <c r="D571" s="200">
        <f>PSK_AT_verzia_4_0!D571</f>
        <v>0</v>
      </c>
      <c r="E571" s="200">
        <f>PSK_AT_verzia_4_0!E571</f>
        <v>0</v>
      </c>
      <c r="F571" s="66" t="s">
        <v>39</v>
      </c>
      <c r="G571" s="71">
        <f>PSK_AT_verzia_4_0!G571</f>
        <v>3054480</v>
      </c>
      <c r="H571" s="71">
        <f>PSK_AT_verzia_4_0!H571</f>
        <v>2206409</v>
      </c>
      <c r="I571" s="71">
        <f>PSK_AT_verzia_4_0!I571</f>
        <v>848071</v>
      </c>
      <c r="J571" s="71">
        <f>PSK_AT_verzia_4_0!J571</f>
        <v>3054480</v>
      </c>
      <c r="K571" s="71">
        <f>PSK_AT_verzia_4_0!K571</f>
        <v>2206409</v>
      </c>
      <c r="L571" s="71">
        <f>PSK_AT_verzia_4_0!L571</f>
        <v>848071</v>
      </c>
      <c r="M571" s="71">
        <f>PSK_AT_verzia_4_0!M571</f>
        <v>0</v>
      </c>
      <c r="N571" s="71">
        <f>PSK_AT_verzia_4_0!N571</f>
        <v>0</v>
      </c>
      <c r="O571" s="71">
        <f>PSK_AT_verzia_4_0!O571</f>
        <v>0</v>
      </c>
      <c r="P571" s="71">
        <f>PSK_AT_verzia_4_0!P571</f>
        <v>0</v>
      </c>
      <c r="Q571" s="71">
        <f>PSK_AT_verzia_4_0!Q571</f>
        <v>0</v>
      </c>
    </row>
    <row r="572" spans="1:17" s="55" customFormat="1" ht="28.5" x14ac:dyDescent="0.35">
      <c r="A572" s="39" t="s">
        <v>435</v>
      </c>
      <c r="B572" s="40" t="s">
        <v>11</v>
      </c>
      <c r="C572" s="41">
        <f>PSK_AT_verzia_4_0!C572-PSK_AT_verzia_3_5!C512</f>
        <v>0</v>
      </c>
      <c r="D572" s="41">
        <f>PSK_AT_verzia_4_0!D572-PSK_AT_verzia_3_5!D512</f>
        <v>0</v>
      </c>
      <c r="E572" s="41">
        <f>PSK_AT_verzia_4_0!E572-PSK_AT_verzia_3_5!E512</f>
        <v>5500000</v>
      </c>
      <c r="F572" s="43"/>
      <c r="G572" s="42">
        <f>PSK_AT_verzia_4_0!G572-PSK_AT_verzia_3_5!G512</f>
        <v>0</v>
      </c>
      <c r="H572" s="42">
        <f>PSK_AT_verzia_4_0!H572-PSK_AT_verzia_3_5!H512</f>
        <v>0</v>
      </c>
      <c r="I572" s="42">
        <f>PSK_AT_verzia_4_0!I572-PSK_AT_verzia_3_5!I512</f>
        <v>0</v>
      </c>
      <c r="J572" s="42">
        <f>PSK_AT_verzia_4_0!J572-PSK_AT_verzia_3_5!J512</f>
        <v>0</v>
      </c>
      <c r="K572" s="42">
        <f>PSK_AT_verzia_4_0!K572-PSK_AT_verzia_3_5!K512</f>
        <v>0</v>
      </c>
      <c r="L572" s="42">
        <f>PSK_AT_verzia_4_0!L572-PSK_AT_verzia_3_5!L512</f>
        <v>0</v>
      </c>
      <c r="M572" s="42">
        <f>PSK_AT_verzia_4_0!M572-PSK_AT_verzia_3_5!M512</f>
        <v>0</v>
      </c>
      <c r="N572" s="42">
        <f>PSK_AT_verzia_4_0!N572-PSK_AT_verzia_3_5!N512</f>
        <v>0</v>
      </c>
      <c r="O572" s="42">
        <f>PSK_AT_verzia_4_0!O572-PSK_AT_verzia_3_5!O512</f>
        <v>0</v>
      </c>
      <c r="P572" s="42">
        <f>PSK_AT_verzia_4_0!P572-PSK_AT_verzia_3_5!P512</f>
        <v>0</v>
      </c>
      <c r="Q572" s="42">
        <f>PSK_AT_verzia_4_0!Q572-PSK_AT_verzia_3_5!Q512</f>
        <v>0</v>
      </c>
    </row>
    <row r="573" spans="1:17" s="55" customFormat="1" ht="28.5" x14ac:dyDescent="0.35">
      <c r="A573" s="45" t="s">
        <v>436</v>
      </c>
      <c r="B573" s="46" t="s">
        <v>11</v>
      </c>
      <c r="C573" s="47">
        <f>PSK_AT_verzia_4_0!C573-PSK_AT_verzia_3_5!C513</f>
        <v>0</v>
      </c>
      <c r="D573" s="47">
        <f>PSK_AT_verzia_4_0!D573-PSK_AT_verzia_3_5!D513</f>
        <v>0</v>
      </c>
      <c r="E573" s="47">
        <f>PSK_AT_verzia_4_0!E573-PSK_AT_verzia_3_5!E513</f>
        <v>0</v>
      </c>
      <c r="F573" s="49"/>
      <c r="G573" s="48">
        <f>PSK_AT_verzia_4_0!G573-PSK_AT_verzia_3_5!G513</f>
        <v>-5500000</v>
      </c>
      <c r="H573" s="48">
        <f>PSK_AT_verzia_4_0!H573-PSK_AT_verzia_3_5!H513</f>
        <v>0</v>
      </c>
      <c r="I573" s="48">
        <f>PSK_AT_verzia_4_0!I573-PSK_AT_verzia_3_5!I513</f>
        <v>0</v>
      </c>
      <c r="J573" s="48">
        <f>PSK_AT_verzia_4_0!J573-PSK_AT_verzia_3_5!J513</f>
        <v>0</v>
      </c>
      <c r="K573" s="48">
        <f>PSK_AT_verzia_4_0!K573-PSK_AT_verzia_3_5!K513</f>
        <v>0</v>
      </c>
      <c r="L573" s="48">
        <f>PSK_AT_verzia_4_0!L573-PSK_AT_verzia_3_5!L513</f>
        <v>0</v>
      </c>
      <c r="M573" s="48">
        <f>PSK_AT_verzia_4_0!M573-PSK_AT_verzia_3_5!M513</f>
        <v>0</v>
      </c>
      <c r="N573" s="48">
        <f>PSK_AT_verzia_4_0!N573-PSK_AT_verzia_3_5!N513</f>
        <v>0</v>
      </c>
      <c r="O573" s="48">
        <f>PSK_AT_verzia_4_0!O573-PSK_AT_verzia_3_5!O513</f>
        <v>0</v>
      </c>
      <c r="P573" s="48">
        <f>PSK_AT_verzia_4_0!P573-PSK_AT_verzia_3_5!P513</f>
        <v>0</v>
      </c>
      <c r="Q573" s="48">
        <f>PSK_AT_verzia_4_0!Q573-PSK_AT_verzia_3_5!Q513</f>
        <v>-5500000</v>
      </c>
    </row>
    <row r="574" spans="1:17" ht="130" x14ac:dyDescent="0.35">
      <c r="A574" s="87" t="s">
        <v>437</v>
      </c>
      <c r="B574" s="88" t="s">
        <v>438</v>
      </c>
      <c r="C574" s="52">
        <f>PSK_AT_verzia_4_0!C574-PSK_AT_verzia_3_5!C514</f>
        <v>0</v>
      </c>
      <c r="D574" s="52">
        <f>PSK_AT_verzia_4_0!D574-PSK_AT_verzia_3_5!D514</f>
        <v>0</v>
      </c>
      <c r="E574" s="52">
        <f>PSK_AT_verzia_4_0!E574-PSK_AT_verzia_3_5!E514</f>
        <v>0</v>
      </c>
      <c r="F574" s="54" t="s">
        <v>439</v>
      </c>
      <c r="G574" s="52">
        <f>PSK_AT_verzia_4_0!G574-PSK_AT_verzia_3_5!G514</f>
        <v>-5500000</v>
      </c>
      <c r="H574" s="52">
        <f>PSK_AT_verzia_4_0!H574-PSK_AT_verzia_3_5!H514</f>
        <v>0</v>
      </c>
      <c r="I574" s="52">
        <f>PSK_AT_verzia_4_0!I574-PSK_AT_verzia_3_5!I514</f>
        <v>0</v>
      </c>
      <c r="J574" s="52">
        <f>PSK_AT_verzia_4_0!J574-PSK_AT_verzia_3_5!J514</f>
        <v>0</v>
      </c>
      <c r="K574" s="52">
        <f>PSK_AT_verzia_4_0!K574-PSK_AT_verzia_3_5!K514</f>
        <v>0</v>
      </c>
      <c r="L574" s="52">
        <f>PSK_AT_verzia_4_0!L574-PSK_AT_verzia_3_5!L514</f>
        <v>0</v>
      </c>
      <c r="M574" s="52">
        <f>PSK_AT_verzia_4_0!M574-PSK_AT_verzia_3_5!M514</f>
        <v>0</v>
      </c>
      <c r="N574" s="52">
        <f>PSK_AT_verzia_4_0!N574-PSK_AT_verzia_3_5!N514</f>
        <v>0</v>
      </c>
      <c r="O574" s="52">
        <f>PSK_AT_verzia_4_0!O574-PSK_AT_verzia_3_5!O514</f>
        <v>0</v>
      </c>
      <c r="P574" s="52">
        <f>PSK_AT_verzia_4_0!P574-PSK_AT_verzia_3_5!P514</f>
        <v>0</v>
      </c>
      <c r="Q574" s="52">
        <f>PSK_AT_verzia_4_0!Q574-PSK_AT_verzia_3_5!Q514</f>
        <v>-5500000</v>
      </c>
    </row>
    <row r="575" spans="1:17" ht="28" customHeight="1" x14ac:dyDescent="0.35">
      <c r="A575" s="214" t="s">
        <v>440</v>
      </c>
      <c r="B575" s="215" t="s">
        <v>441</v>
      </c>
      <c r="C575" s="57">
        <f>PSK_AT_verzia_4_0!C575-PSK_AT_verzia_3_5!C515</f>
        <v>0</v>
      </c>
      <c r="D575" s="57">
        <f>PSK_AT_verzia_4_0!D575-PSK_AT_verzia_3_5!D515</f>
        <v>0</v>
      </c>
      <c r="E575" s="57">
        <f>PSK_AT_verzia_4_0!E575-PSK_AT_verzia_3_5!E515</f>
        <v>0</v>
      </c>
      <c r="F575" s="59" t="s">
        <v>442</v>
      </c>
      <c r="G575" s="58">
        <f>PSK_AT_verzia_4_0!G575-PSK_AT_verzia_3_5!G515</f>
        <v>0</v>
      </c>
      <c r="H575" s="58">
        <f>PSK_AT_verzia_4_0!H575-PSK_AT_verzia_3_5!H515</f>
        <v>0</v>
      </c>
      <c r="I575" s="58">
        <f>PSK_AT_verzia_4_0!I575-PSK_AT_verzia_3_5!I515</f>
        <v>0</v>
      </c>
      <c r="J575" s="58">
        <f>PSK_AT_verzia_4_0!J575-PSK_AT_verzia_3_5!J515</f>
        <v>0</v>
      </c>
      <c r="K575" s="58">
        <f>PSK_AT_verzia_4_0!K575-PSK_AT_verzia_3_5!K515</f>
        <v>0</v>
      </c>
      <c r="L575" s="58">
        <f>PSK_AT_verzia_4_0!L575-PSK_AT_verzia_3_5!L515</f>
        <v>0</v>
      </c>
      <c r="M575" s="58">
        <f>PSK_AT_verzia_4_0!M575-PSK_AT_verzia_3_5!M515</f>
        <v>0</v>
      </c>
      <c r="N575" s="58">
        <f>PSK_AT_verzia_4_0!N575-PSK_AT_verzia_3_5!N515</f>
        <v>0</v>
      </c>
      <c r="O575" s="58">
        <f>PSK_AT_verzia_4_0!O575-PSK_AT_verzia_3_5!O515</f>
        <v>0</v>
      </c>
      <c r="P575" s="58">
        <f>PSK_AT_verzia_4_0!P575-PSK_AT_verzia_3_5!P515</f>
        <v>0</v>
      </c>
      <c r="Q575" s="58">
        <f>PSK_AT_verzia_4_0!Q575-PSK_AT_verzia_3_5!Q515</f>
        <v>0</v>
      </c>
    </row>
    <row r="576" spans="1:17" ht="28" customHeight="1" x14ac:dyDescent="0.35">
      <c r="A576" s="214"/>
      <c r="B576" s="215"/>
      <c r="C576" s="60">
        <f>PSK_AT_verzia_4_0!C576-PSK_AT_verzia_3_5!C516</f>
        <v>0</v>
      </c>
      <c r="D576" s="60">
        <f>PSK_AT_verzia_4_0!D576-PSK_AT_verzia_3_5!D516</f>
        <v>0</v>
      </c>
      <c r="E576" s="60">
        <f>PSK_AT_verzia_4_0!E576-PSK_AT_verzia_3_5!E516</f>
        <v>0</v>
      </c>
      <c r="F576" s="61" t="s">
        <v>36</v>
      </c>
      <c r="G576" s="60">
        <f>PSK_AT_verzia_4_0!G576-PSK_AT_verzia_3_5!G516</f>
        <v>0</v>
      </c>
      <c r="H576" s="60">
        <f>PSK_AT_verzia_4_0!H576-PSK_AT_verzia_3_5!H516</f>
        <v>0</v>
      </c>
      <c r="I576" s="60">
        <f>PSK_AT_verzia_4_0!I576-PSK_AT_verzia_3_5!I516</f>
        <v>0</v>
      </c>
      <c r="J576" s="60">
        <f>PSK_AT_verzia_4_0!J576-PSK_AT_verzia_3_5!J516</f>
        <v>0</v>
      </c>
      <c r="K576" s="60">
        <f>PSK_AT_verzia_4_0!K576-PSK_AT_verzia_3_5!K516</f>
        <v>0</v>
      </c>
      <c r="L576" s="60">
        <f>PSK_AT_verzia_4_0!L576-PSK_AT_verzia_3_5!L516</f>
        <v>0</v>
      </c>
      <c r="M576" s="60">
        <f>PSK_AT_verzia_4_0!M576-PSK_AT_verzia_3_5!M516</f>
        <v>0</v>
      </c>
      <c r="N576" s="60">
        <f>PSK_AT_verzia_4_0!N576-PSK_AT_verzia_3_5!N516</f>
        <v>0</v>
      </c>
      <c r="O576" s="60">
        <f>PSK_AT_verzia_4_0!O576-PSK_AT_verzia_3_5!O516</f>
        <v>0</v>
      </c>
      <c r="P576" s="60">
        <f>PSK_AT_verzia_4_0!P576-PSK_AT_verzia_3_5!P516</f>
        <v>0</v>
      </c>
      <c r="Q576" s="60">
        <f>PSK_AT_verzia_4_0!Q576-PSK_AT_verzia_3_5!Q516</f>
        <v>0</v>
      </c>
    </row>
    <row r="577" spans="1:17" ht="28" customHeight="1" x14ac:dyDescent="0.35">
      <c r="A577" s="214"/>
      <c r="B577" s="215"/>
      <c r="C577" s="200">
        <f>PSK_AT_verzia_4_0!C577-PSK_AT_verzia_3_5!C517</f>
        <v>0</v>
      </c>
      <c r="D577" s="200">
        <f>PSK_AT_verzia_4_0!D577-PSK_AT_verzia_3_5!D517</f>
        <v>0</v>
      </c>
      <c r="E577" s="200">
        <f>PSK_AT_verzia_4_0!E577-PSK_AT_verzia_3_5!E517</f>
        <v>0</v>
      </c>
      <c r="F577" s="66" t="s">
        <v>37</v>
      </c>
      <c r="G577" s="67">
        <f>PSK_AT_verzia_4_0!G577-PSK_AT_verzia_3_5!G517</f>
        <v>0</v>
      </c>
      <c r="H577" s="67">
        <f>PSK_AT_verzia_4_0!H577-PSK_AT_verzia_3_5!H517</f>
        <v>0</v>
      </c>
      <c r="I577" s="67">
        <f>PSK_AT_verzia_4_0!I577-PSK_AT_verzia_3_5!I517</f>
        <v>0</v>
      </c>
      <c r="J577" s="67">
        <f>PSK_AT_verzia_4_0!J577-PSK_AT_verzia_3_5!J517</f>
        <v>0</v>
      </c>
      <c r="K577" s="67">
        <f>PSK_AT_verzia_4_0!K577-PSK_AT_verzia_3_5!K517</f>
        <v>0</v>
      </c>
      <c r="L577" s="67">
        <f>PSK_AT_verzia_4_0!L577-PSK_AT_verzia_3_5!L517</f>
        <v>0</v>
      </c>
      <c r="M577" s="67">
        <f>PSK_AT_verzia_4_0!M577-PSK_AT_verzia_3_5!M517</f>
        <v>0</v>
      </c>
      <c r="N577" s="67">
        <f>PSK_AT_verzia_4_0!N577-PSK_AT_verzia_3_5!N517</f>
        <v>0</v>
      </c>
      <c r="O577" s="67">
        <f>PSK_AT_verzia_4_0!O577-PSK_AT_verzia_3_5!O517</f>
        <v>0</v>
      </c>
      <c r="P577" s="67">
        <f>PSK_AT_verzia_4_0!P577-PSK_AT_verzia_3_5!P517</f>
        <v>0</v>
      </c>
      <c r="Q577" s="67">
        <f>PSK_AT_verzia_4_0!Q577-PSK_AT_verzia_3_5!Q517</f>
        <v>0</v>
      </c>
    </row>
    <row r="578" spans="1:17" ht="28" customHeight="1" x14ac:dyDescent="0.35">
      <c r="A578" s="214"/>
      <c r="B578" s="215"/>
      <c r="C578" s="60">
        <f>PSK_AT_verzia_4_0!C578-PSK_AT_verzia_3_5!C518</f>
        <v>0</v>
      </c>
      <c r="D578" s="60">
        <f>PSK_AT_verzia_4_0!D578-PSK_AT_verzia_3_5!D518</f>
        <v>0</v>
      </c>
      <c r="E578" s="72">
        <f>PSK_AT_verzia_4_0!E578-PSK_AT_verzia_3_5!E518</f>
        <v>0</v>
      </c>
      <c r="F578" s="61" t="s">
        <v>40</v>
      </c>
      <c r="G578" s="60">
        <f>PSK_AT_verzia_4_0!G578-PSK_AT_verzia_3_5!G518</f>
        <v>0</v>
      </c>
      <c r="H578" s="60">
        <f>PSK_AT_verzia_4_0!H578-PSK_AT_verzia_3_5!H518</f>
        <v>0</v>
      </c>
      <c r="I578" s="60">
        <f>PSK_AT_verzia_4_0!I578-PSK_AT_verzia_3_5!I518</f>
        <v>0</v>
      </c>
      <c r="J578" s="60">
        <f>PSK_AT_verzia_4_0!J578-PSK_AT_verzia_3_5!J518</f>
        <v>0</v>
      </c>
      <c r="K578" s="60">
        <f>PSK_AT_verzia_4_0!K578-PSK_AT_verzia_3_5!K518</f>
        <v>0</v>
      </c>
      <c r="L578" s="60">
        <f>PSK_AT_verzia_4_0!L578-PSK_AT_verzia_3_5!L518</f>
        <v>0</v>
      </c>
      <c r="M578" s="60">
        <f>PSK_AT_verzia_4_0!M578-PSK_AT_verzia_3_5!M518</f>
        <v>0</v>
      </c>
      <c r="N578" s="60">
        <f>PSK_AT_verzia_4_0!N578-PSK_AT_verzia_3_5!N518</f>
        <v>0</v>
      </c>
      <c r="O578" s="60">
        <f>PSK_AT_verzia_4_0!O578-PSK_AT_verzia_3_5!O518</f>
        <v>0</v>
      </c>
      <c r="P578" s="60">
        <f>PSK_AT_verzia_4_0!P578-PSK_AT_verzia_3_5!P518</f>
        <v>0</v>
      </c>
      <c r="Q578" s="60">
        <f>PSK_AT_verzia_4_0!Q578-PSK_AT_verzia_3_5!Q518</f>
        <v>0</v>
      </c>
    </row>
    <row r="579" spans="1:17" ht="28" customHeight="1" x14ac:dyDescent="0.35">
      <c r="A579" s="214"/>
      <c r="B579" s="215"/>
      <c r="C579" s="200">
        <f>PSK_AT_verzia_4_0!C579-PSK_AT_verzia_3_5!C519</f>
        <v>0</v>
      </c>
      <c r="D579" s="200">
        <f>PSK_AT_verzia_4_0!D579-PSK_AT_verzia_3_5!D519</f>
        <v>0</v>
      </c>
      <c r="E579" s="200">
        <f>PSK_AT_verzia_4_0!E579-PSK_AT_verzia_3_5!E519</f>
        <v>0</v>
      </c>
      <c r="F579" s="66" t="s">
        <v>42</v>
      </c>
      <c r="G579" s="74">
        <f>PSK_AT_verzia_4_0!G579-PSK_AT_verzia_3_5!G519</f>
        <v>0</v>
      </c>
      <c r="H579" s="74">
        <f>PSK_AT_verzia_4_0!H579-PSK_AT_verzia_3_5!H519</f>
        <v>0</v>
      </c>
      <c r="I579" s="74">
        <f>PSK_AT_verzia_4_0!I579-PSK_AT_verzia_3_5!I519</f>
        <v>0</v>
      </c>
      <c r="J579" s="74">
        <f>PSK_AT_verzia_4_0!J579-PSK_AT_verzia_3_5!J519</f>
        <v>0</v>
      </c>
      <c r="K579" s="74">
        <f>PSK_AT_verzia_4_0!K579-PSK_AT_verzia_3_5!K519</f>
        <v>0</v>
      </c>
      <c r="L579" s="74">
        <f>PSK_AT_verzia_4_0!L579-PSK_AT_verzia_3_5!L519</f>
        <v>0</v>
      </c>
      <c r="M579" s="74">
        <f>PSK_AT_verzia_4_0!M579-PSK_AT_verzia_3_5!M519</f>
        <v>0</v>
      </c>
      <c r="N579" s="74">
        <f>PSK_AT_verzia_4_0!N579-PSK_AT_verzia_3_5!N519</f>
        <v>0</v>
      </c>
      <c r="O579" s="74">
        <f>PSK_AT_verzia_4_0!O579-PSK_AT_verzia_3_5!O519</f>
        <v>0</v>
      </c>
      <c r="P579" s="74">
        <f>PSK_AT_verzia_4_0!P579-PSK_AT_verzia_3_5!P519</f>
        <v>0</v>
      </c>
      <c r="Q579" s="74">
        <f>PSK_AT_verzia_4_0!Q579-PSK_AT_verzia_3_5!Q519</f>
        <v>0</v>
      </c>
    </row>
    <row r="580" spans="1:17" ht="28" customHeight="1" x14ac:dyDescent="0.35">
      <c r="A580" s="214"/>
      <c r="B580" s="215"/>
      <c r="C580" s="60">
        <f>PSK_AT_verzia_4_0!C580-PSK_AT_verzia_3_5!C520</f>
        <v>0</v>
      </c>
      <c r="D580" s="60">
        <f>PSK_AT_verzia_4_0!D580-PSK_AT_verzia_3_5!D520</f>
        <v>0</v>
      </c>
      <c r="E580" s="72">
        <f>PSK_AT_verzia_4_0!E580-PSK_AT_verzia_3_5!E520</f>
        <v>0</v>
      </c>
      <c r="F580" s="61" t="s">
        <v>321</v>
      </c>
      <c r="G580" s="60">
        <f>PSK_AT_verzia_4_0!G580-PSK_AT_verzia_3_5!G520</f>
        <v>0</v>
      </c>
      <c r="H580" s="60">
        <f>PSK_AT_verzia_4_0!H580-PSK_AT_verzia_3_5!H520</f>
        <v>0</v>
      </c>
      <c r="I580" s="60">
        <f>PSK_AT_verzia_4_0!I580-PSK_AT_verzia_3_5!I520</f>
        <v>0</v>
      </c>
      <c r="J580" s="60">
        <f>PSK_AT_verzia_4_0!J580-PSK_AT_verzia_3_5!J520</f>
        <v>0</v>
      </c>
      <c r="K580" s="60">
        <f>PSK_AT_verzia_4_0!K580-PSK_AT_verzia_3_5!K520</f>
        <v>0</v>
      </c>
      <c r="L580" s="60">
        <f>PSK_AT_verzia_4_0!L580-PSK_AT_verzia_3_5!L520</f>
        <v>0</v>
      </c>
      <c r="M580" s="60">
        <f>PSK_AT_verzia_4_0!M580-PSK_AT_verzia_3_5!M520</f>
        <v>0</v>
      </c>
      <c r="N580" s="60">
        <f>PSK_AT_verzia_4_0!N580-PSK_AT_verzia_3_5!N520</f>
        <v>0</v>
      </c>
      <c r="O580" s="60">
        <f>PSK_AT_verzia_4_0!O580-PSK_AT_verzia_3_5!O520</f>
        <v>0</v>
      </c>
      <c r="P580" s="60">
        <f>PSK_AT_verzia_4_0!P580-PSK_AT_verzia_3_5!P520</f>
        <v>0</v>
      </c>
      <c r="Q580" s="60">
        <f>PSK_AT_verzia_4_0!Q580-PSK_AT_verzia_3_5!Q520</f>
        <v>0</v>
      </c>
    </row>
    <row r="581" spans="1:17" ht="28" customHeight="1" x14ac:dyDescent="0.35">
      <c r="A581" s="214"/>
      <c r="B581" s="215"/>
      <c r="C581" s="200">
        <f>PSK_AT_verzia_4_0!C581-PSK_AT_verzia_3_5!C521</f>
        <v>0</v>
      </c>
      <c r="D581" s="200">
        <f>PSK_AT_verzia_4_0!D581-PSK_AT_verzia_3_5!D521</f>
        <v>0</v>
      </c>
      <c r="E581" s="200">
        <f>PSK_AT_verzia_4_0!E581-PSK_AT_verzia_3_5!E521</f>
        <v>0</v>
      </c>
      <c r="F581" s="66" t="s">
        <v>322</v>
      </c>
      <c r="G581" s="67">
        <f>PSK_AT_verzia_4_0!G581-PSK_AT_verzia_3_5!G521</f>
        <v>0</v>
      </c>
      <c r="H581" s="67">
        <f>PSK_AT_verzia_4_0!H581-PSK_AT_verzia_3_5!H521</f>
        <v>0</v>
      </c>
      <c r="I581" s="67">
        <f>PSK_AT_verzia_4_0!I581-PSK_AT_verzia_3_5!I521</f>
        <v>0</v>
      </c>
      <c r="J581" s="67">
        <f>PSK_AT_verzia_4_0!J581-PSK_AT_verzia_3_5!J521</f>
        <v>0</v>
      </c>
      <c r="K581" s="67">
        <f>PSK_AT_verzia_4_0!K581-PSK_AT_verzia_3_5!K521</f>
        <v>0</v>
      </c>
      <c r="L581" s="67">
        <f>PSK_AT_verzia_4_0!L581-PSK_AT_verzia_3_5!L521</f>
        <v>0</v>
      </c>
      <c r="M581" s="67">
        <f>PSK_AT_verzia_4_0!M581-PSK_AT_verzia_3_5!M521</f>
        <v>0</v>
      </c>
      <c r="N581" s="67">
        <f>PSK_AT_verzia_4_0!N581-PSK_AT_verzia_3_5!N521</f>
        <v>0</v>
      </c>
      <c r="O581" s="67">
        <f>PSK_AT_verzia_4_0!O581-PSK_AT_verzia_3_5!O521</f>
        <v>0</v>
      </c>
      <c r="P581" s="67">
        <f>PSK_AT_verzia_4_0!P581-PSK_AT_verzia_3_5!P521</f>
        <v>0</v>
      </c>
      <c r="Q581" s="67">
        <f>PSK_AT_verzia_4_0!Q581-PSK_AT_verzia_3_5!Q521</f>
        <v>0</v>
      </c>
    </row>
    <row r="582" spans="1:17" ht="28" customHeight="1" x14ac:dyDescent="0.35">
      <c r="A582" s="214"/>
      <c r="B582" s="215"/>
      <c r="C582" s="200">
        <f>PSK_AT_verzia_4_0!C582-PSK_AT_verzia_3_5!C522</f>
        <v>0</v>
      </c>
      <c r="D582" s="200">
        <f>PSK_AT_verzia_4_0!D582-PSK_AT_verzia_3_5!D522</f>
        <v>0</v>
      </c>
      <c r="E582" s="200">
        <f>PSK_AT_verzia_4_0!E582-PSK_AT_verzia_3_5!E522</f>
        <v>0</v>
      </c>
      <c r="F582" s="66" t="s">
        <v>338</v>
      </c>
      <c r="G582" s="74">
        <f>PSK_AT_verzia_4_0!G582-PSK_AT_verzia_3_5!G522</f>
        <v>0</v>
      </c>
      <c r="H582" s="74">
        <f>PSK_AT_verzia_4_0!H582-PSK_AT_verzia_3_5!H522</f>
        <v>0</v>
      </c>
      <c r="I582" s="74">
        <f>PSK_AT_verzia_4_0!I582-PSK_AT_verzia_3_5!I522</f>
        <v>0</v>
      </c>
      <c r="J582" s="74">
        <f>PSK_AT_verzia_4_0!J582-PSK_AT_verzia_3_5!J522</f>
        <v>0</v>
      </c>
      <c r="K582" s="74">
        <f>PSK_AT_verzia_4_0!K582-PSK_AT_verzia_3_5!K522</f>
        <v>0</v>
      </c>
      <c r="L582" s="74">
        <f>PSK_AT_verzia_4_0!L582-PSK_AT_verzia_3_5!L522</f>
        <v>0</v>
      </c>
      <c r="M582" s="74">
        <f>PSK_AT_verzia_4_0!M582-PSK_AT_verzia_3_5!M522</f>
        <v>0</v>
      </c>
      <c r="N582" s="74">
        <f>PSK_AT_verzia_4_0!N582-PSK_AT_verzia_3_5!N522</f>
        <v>0</v>
      </c>
      <c r="O582" s="74">
        <f>PSK_AT_verzia_4_0!O582-PSK_AT_verzia_3_5!O522</f>
        <v>0</v>
      </c>
      <c r="P582" s="74">
        <f>PSK_AT_verzia_4_0!P582-PSK_AT_verzia_3_5!P522</f>
        <v>0</v>
      </c>
      <c r="Q582" s="74">
        <f>PSK_AT_verzia_4_0!Q582-PSK_AT_verzia_3_5!Q522</f>
        <v>0</v>
      </c>
    </row>
    <row r="583" spans="1:17" ht="28" customHeight="1" x14ac:dyDescent="0.35">
      <c r="A583" s="214" t="s">
        <v>443</v>
      </c>
      <c r="B583" s="215" t="s">
        <v>444</v>
      </c>
      <c r="C583" s="57">
        <f>PSK_AT_verzia_4_0!C583-PSK_AT_verzia_3_5!C523</f>
        <v>0</v>
      </c>
      <c r="D583" s="57">
        <f>PSK_AT_verzia_4_0!D583-PSK_AT_verzia_3_5!D523</f>
        <v>0</v>
      </c>
      <c r="E583" s="57">
        <f>PSK_AT_verzia_4_0!E583-PSK_AT_verzia_3_5!E523</f>
        <v>0</v>
      </c>
      <c r="F583" s="59" t="s">
        <v>445</v>
      </c>
      <c r="G583" s="58">
        <f>PSK_AT_verzia_4_0!G583-PSK_AT_verzia_3_5!G523</f>
        <v>0</v>
      </c>
      <c r="H583" s="58">
        <f>PSK_AT_verzia_4_0!H583-PSK_AT_verzia_3_5!H523</f>
        <v>0</v>
      </c>
      <c r="I583" s="58">
        <f>PSK_AT_verzia_4_0!I583-PSK_AT_verzia_3_5!I523</f>
        <v>0</v>
      </c>
      <c r="J583" s="58">
        <f>PSK_AT_verzia_4_0!J583-PSK_AT_verzia_3_5!J523</f>
        <v>0</v>
      </c>
      <c r="K583" s="58">
        <f>PSK_AT_verzia_4_0!K583-PSK_AT_verzia_3_5!K523</f>
        <v>0</v>
      </c>
      <c r="L583" s="58">
        <f>PSK_AT_verzia_4_0!L583-PSK_AT_verzia_3_5!L523</f>
        <v>0</v>
      </c>
      <c r="M583" s="58">
        <f>PSK_AT_verzia_4_0!M583-PSK_AT_verzia_3_5!M523</f>
        <v>0</v>
      </c>
      <c r="N583" s="58">
        <f>PSK_AT_verzia_4_0!N583-PSK_AT_verzia_3_5!N523</f>
        <v>0</v>
      </c>
      <c r="O583" s="58">
        <f>PSK_AT_verzia_4_0!O583-PSK_AT_verzia_3_5!O523</f>
        <v>0</v>
      </c>
      <c r="P583" s="58">
        <f>PSK_AT_verzia_4_0!P583-PSK_AT_verzia_3_5!P523</f>
        <v>0</v>
      </c>
      <c r="Q583" s="58">
        <f>PSK_AT_verzia_4_0!Q583-PSK_AT_verzia_3_5!Q523</f>
        <v>0</v>
      </c>
    </row>
    <row r="584" spans="1:17" ht="28" customHeight="1" x14ac:dyDescent="0.35">
      <c r="A584" s="214"/>
      <c r="B584" s="215"/>
      <c r="C584" s="60">
        <f>PSK_AT_verzia_4_0!C584-PSK_AT_verzia_3_5!C524</f>
        <v>0</v>
      </c>
      <c r="D584" s="60">
        <f>PSK_AT_verzia_4_0!D584-PSK_AT_verzia_3_5!D524</f>
        <v>0</v>
      </c>
      <c r="E584" s="60">
        <f>PSK_AT_verzia_4_0!E584-PSK_AT_verzia_3_5!E524</f>
        <v>0</v>
      </c>
      <c r="F584" s="61" t="s">
        <v>40</v>
      </c>
      <c r="G584" s="60">
        <f>PSK_AT_verzia_4_0!G584-PSK_AT_verzia_3_5!G524</f>
        <v>0</v>
      </c>
      <c r="H584" s="60">
        <f>PSK_AT_verzia_4_0!H584-PSK_AT_verzia_3_5!H524</f>
        <v>0</v>
      </c>
      <c r="I584" s="60">
        <f>PSK_AT_verzia_4_0!I584-PSK_AT_verzia_3_5!I524</f>
        <v>0</v>
      </c>
      <c r="J584" s="60">
        <f>PSK_AT_verzia_4_0!J584-PSK_AT_verzia_3_5!J524</f>
        <v>0</v>
      </c>
      <c r="K584" s="60">
        <f>PSK_AT_verzia_4_0!K584-PSK_AT_verzia_3_5!K524</f>
        <v>0</v>
      </c>
      <c r="L584" s="60">
        <f>PSK_AT_verzia_4_0!L584-PSK_AT_verzia_3_5!L524</f>
        <v>0</v>
      </c>
      <c r="M584" s="60">
        <f>PSK_AT_verzia_4_0!M584-PSK_AT_verzia_3_5!M524</f>
        <v>0</v>
      </c>
      <c r="N584" s="60">
        <f>PSK_AT_verzia_4_0!N584-PSK_AT_verzia_3_5!N524</f>
        <v>0</v>
      </c>
      <c r="O584" s="60">
        <f>PSK_AT_verzia_4_0!O584-PSK_AT_verzia_3_5!O524</f>
        <v>0</v>
      </c>
      <c r="P584" s="60">
        <f>PSK_AT_verzia_4_0!P584-PSK_AT_verzia_3_5!P524</f>
        <v>0</v>
      </c>
      <c r="Q584" s="60">
        <f>PSK_AT_verzia_4_0!Q584-PSK_AT_verzia_3_5!Q524</f>
        <v>0</v>
      </c>
    </row>
    <row r="585" spans="1:17" ht="28" customHeight="1" x14ac:dyDescent="0.35">
      <c r="A585" s="214"/>
      <c r="B585" s="215"/>
      <c r="C585" s="200">
        <f>PSK_AT_verzia_4_0!C585-PSK_AT_verzia_3_5!C525</f>
        <v>0</v>
      </c>
      <c r="D585" s="200">
        <f>PSK_AT_verzia_4_0!D585-PSK_AT_verzia_3_5!D525</f>
        <v>0</v>
      </c>
      <c r="E585" s="200">
        <f>PSK_AT_verzia_4_0!E585-PSK_AT_verzia_3_5!E525</f>
        <v>0</v>
      </c>
      <c r="F585" s="66" t="s">
        <v>41</v>
      </c>
      <c r="G585" s="67">
        <f>PSK_AT_verzia_4_0!G585-PSK_AT_verzia_3_5!G525</f>
        <v>0</v>
      </c>
      <c r="H585" s="67">
        <f>PSK_AT_verzia_4_0!H585-PSK_AT_verzia_3_5!H525</f>
        <v>0</v>
      </c>
      <c r="I585" s="67">
        <f>PSK_AT_verzia_4_0!I585-PSK_AT_verzia_3_5!I525</f>
        <v>0</v>
      </c>
      <c r="J585" s="67">
        <f>PSK_AT_verzia_4_0!J585-PSK_AT_verzia_3_5!J525</f>
        <v>0</v>
      </c>
      <c r="K585" s="67">
        <f>PSK_AT_verzia_4_0!K585-PSK_AT_verzia_3_5!K525</f>
        <v>0</v>
      </c>
      <c r="L585" s="67">
        <f>PSK_AT_verzia_4_0!L585-PSK_AT_verzia_3_5!L525</f>
        <v>0</v>
      </c>
      <c r="M585" s="67">
        <f>PSK_AT_verzia_4_0!M585-PSK_AT_verzia_3_5!M525</f>
        <v>0</v>
      </c>
      <c r="N585" s="67">
        <f>PSK_AT_verzia_4_0!N585-PSK_AT_verzia_3_5!N525</f>
        <v>0</v>
      </c>
      <c r="O585" s="67">
        <f>PSK_AT_verzia_4_0!O585-PSK_AT_verzia_3_5!O525</f>
        <v>0</v>
      </c>
      <c r="P585" s="67">
        <f>PSK_AT_verzia_4_0!P585-PSK_AT_verzia_3_5!P525</f>
        <v>0</v>
      </c>
      <c r="Q585" s="67">
        <f>PSK_AT_verzia_4_0!Q585-PSK_AT_verzia_3_5!Q525</f>
        <v>0</v>
      </c>
    </row>
    <row r="586" spans="1:17" ht="28" customHeight="1" x14ac:dyDescent="0.35">
      <c r="A586" s="214"/>
      <c r="B586" s="215"/>
      <c r="C586" s="60">
        <f>PSK_AT_verzia_4_0!C586-PSK_AT_verzia_3_5!C526</f>
        <v>0</v>
      </c>
      <c r="D586" s="60">
        <f>PSK_AT_verzia_4_0!D586-PSK_AT_verzia_3_5!D526</f>
        <v>0</v>
      </c>
      <c r="E586" s="60">
        <f>PSK_AT_verzia_4_0!E586-PSK_AT_verzia_3_5!E526</f>
        <v>0</v>
      </c>
      <c r="F586" s="61" t="s">
        <v>36</v>
      </c>
      <c r="G586" s="60">
        <f>PSK_AT_verzia_4_0!G586-PSK_AT_verzia_3_5!G526</f>
        <v>0</v>
      </c>
      <c r="H586" s="60">
        <f>PSK_AT_verzia_4_0!H586-PSK_AT_verzia_3_5!H526</f>
        <v>0</v>
      </c>
      <c r="I586" s="60">
        <f>PSK_AT_verzia_4_0!I586-PSK_AT_verzia_3_5!I526</f>
        <v>0</v>
      </c>
      <c r="J586" s="60">
        <f>PSK_AT_verzia_4_0!J586-PSK_AT_verzia_3_5!J526</f>
        <v>0</v>
      </c>
      <c r="K586" s="60">
        <f>PSK_AT_verzia_4_0!K586-PSK_AT_verzia_3_5!K526</f>
        <v>0</v>
      </c>
      <c r="L586" s="60">
        <f>PSK_AT_verzia_4_0!L586-PSK_AT_verzia_3_5!L526</f>
        <v>0</v>
      </c>
      <c r="M586" s="60">
        <f>PSK_AT_verzia_4_0!M586-PSK_AT_verzia_3_5!M526</f>
        <v>0</v>
      </c>
      <c r="N586" s="60">
        <f>PSK_AT_verzia_4_0!N586-PSK_AT_verzia_3_5!N526</f>
        <v>0</v>
      </c>
      <c r="O586" s="60">
        <f>PSK_AT_verzia_4_0!O586-PSK_AT_verzia_3_5!O526</f>
        <v>0</v>
      </c>
      <c r="P586" s="60">
        <f>PSK_AT_verzia_4_0!P586-PSK_AT_verzia_3_5!P526</f>
        <v>0</v>
      </c>
      <c r="Q586" s="60">
        <f>PSK_AT_verzia_4_0!Q586-PSK_AT_verzia_3_5!Q526</f>
        <v>0</v>
      </c>
    </row>
    <row r="587" spans="1:17" ht="28" customHeight="1" x14ac:dyDescent="0.35">
      <c r="A587" s="214"/>
      <c r="B587" s="215"/>
      <c r="C587" s="200">
        <f>PSK_AT_verzia_4_0!C587-PSK_AT_verzia_3_5!C527</f>
        <v>0</v>
      </c>
      <c r="D587" s="200">
        <f>PSK_AT_verzia_4_0!D587-PSK_AT_verzia_3_5!D527</f>
        <v>0</v>
      </c>
      <c r="E587" s="200">
        <f>PSK_AT_verzia_4_0!E587-PSK_AT_verzia_3_5!E527</f>
        <v>0</v>
      </c>
      <c r="F587" s="66" t="s">
        <v>37</v>
      </c>
      <c r="G587" s="67">
        <f>PSK_AT_verzia_4_0!G587-PSK_AT_verzia_3_5!G527</f>
        <v>0</v>
      </c>
      <c r="H587" s="67">
        <f>PSK_AT_verzia_4_0!H587-PSK_AT_verzia_3_5!H527</f>
        <v>0</v>
      </c>
      <c r="I587" s="67">
        <f>PSK_AT_verzia_4_0!I587-PSK_AT_verzia_3_5!I527</f>
        <v>0</v>
      </c>
      <c r="J587" s="67">
        <f>PSK_AT_verzia_4_0!J587-PSK_AT_verzia_3_5!J527</f>
        <v>0</v>
      </c>
      <c r="K587" s="67">
        <f>PSK_AT_verzia_4_0!K587-PSK_AT_verzia_3_5!K527</f>
        <v>0</v>
      </c>
      <c r="L587" s="67">
        <f>PSK_AT_verzia_4_0!L587-PSK_AT_verzia_3_5!L527</f>
        <v>0</v>
      </c>
      <c r="M587" s="67">
        <f>PSK_AT_verzia_4_0!M587-PSK_AT_verzia_3_5!M527</f>
        <v>0</v>
      </c>
      <c r="N587" s="67">
        <f>PSK_AT_verzia_4_0!N587-PSK_AT_verzia_3_5!N527</f>
        <v>0</v>
      </c>
      <c r="O587" s="67">
        <f>PSK_AT_verzia_4_0!O587-PSK_AT_verzia_3_5!O527</f>
        <v>0</v>
      </c>
      <c r="P587" s="67">
        <f>PSK_AT_verzia_4_0!P587-PSK_AT_verzia_3_5!P527</f>
        <v>0</v>
      </c>
      <c r="Q587" s="67">
        <f>PSK_AT_verzia_4_0!Q587-PSK_AT_verzia_3_5!Q527</f>
        <v>0</v>
      </c>
    </row>
    <row r="588" spans="1:17" ht="28" customHeight="1" x14ac:dyDescent="0.35">
      <c r="A588" s="214" t="s">
        <v>446</v>
      </c>
      <c r="B588" s="215" t="s">
        <v>447</v>
      </c>
      <c r="C588" s="57">
        <f>PSK_AT_verzia_4_0!C588-PSK_AT_verzia_3_5!C528</f>
        <v>0</v>
      </c>
      <c r="D588" s="57">
        <f>PSK_AT_verzia_4_0!D588-PSK_AT_verzia_3_5!D528</f>
        <v>0</v>
      </c>
      <c r="E588" s="57">
        <f>PSK_AT_verzia_4_0!E588-PSK_AT_verzia_3_5!E528</f>
        <v>0</v>
      </c>
      <c r="F588" s="59" t="s">
        <v>448</v>
      </c>
      <c r="G588" s="58">
        <f>PSK_AT_verzia_4_0!G588-PSK_AT_verzia_3_5!G528</f>
        <v>0</v>
      </c>
      <c r="H588" s="58">
        <f>PSK_AT_verzia_4_0!H588-PSK_AT_verzia_3_5!H528</f>
        <v>0</v>
      </c>
      <c r="I588" s="58">
        <f>PSK_AT_verzia_4_0!I588-PSK_AT_verzia_3_5!I528</f>
        <v>0</v>
      </c>
      <c r="J588" s="58">
        <f>PSK_AT_verzia_4_0!J588-PSK_AT_verzia_3_5!J528</f>
        <v>0</v>
      </c>
      <c r="K588" s="58">
        <f>PSK_AT_verzia_4_0!K588-PSK_AT_verzia_3_5!K528</f>
        <v>0</v>
      </c>
      <c r="L588" s="58">
        <f>PSK_AT_verzia_4_0!L588-PSK_AT_verzia_3_5!L528</f>
        <v>0</v>
      </c>
      <c r="M588" s="58">
        <f>PSK_AT_verzia_4_0!M588-PSK_AT_verzia_3_5!M528</f>
        <v>0</v>
      </c>
      <c r="N588" s="58">
        <f>PSK_AT_verzia_4_0!N588-PSK_AT_verzia_3_5!N528</f>
        <v>0</v>
      </c>
      <c r="O588" s="58">
        <f>PSK_AT_verzia_4_0!O588-PSK_AT_verzia_3_5!O528</f>
        <v>0</v>
      </c>
      <c r="P588" s="58">
        <f>PSK_AT_verzia_4_0!P588-PSK_AT_verzia_3_5!P528</f>
        <v>0</v>
      </c>
      <c r="Q588" s="58">
        <f>PSK_AT_verzia_4_0!Q588-PSK_AT_verzia_3_5!Q528</f>
        <v>0</v>
      </c>
    </row>
    <row r="589" spans="1:17" ht="28" customHeight="1" x14ac:dyDescent="0.35">
      <c r="A589" s="214"/>
      <c r="B589" s="215"/>
      <c r="C589" s="200">
        <f>PSK_AT_verzia_4_0!C589-PSK_AT_verzia_3_5!C529</f>
        <v>0</v>
      </c>
      <c r="D589" s="200">
        <f>PSK_AT_verzia_4_0!D589-PSK_AT_verzia_3_5!D529</f>
        <v>0</v>
      </c>
      <c r="E589" s="200">
        <f>PSK_AT_verzia_4_0!E589-PSK_AT_verzia_3_5!E529</f>
        <v>0</v>
      </c>
      <c r="F589" s="61" t="s">
        <v>40</v>
      </c>
      <c r="G589" s="60">
        <f>PSK_AT_verzia_4_0!G589-PSK_AT_verzia_3_5!G529</f>
        <v>0</v>
      </c>
      <c r="H589" s="60">
        <f>PSK_AT_verzia_4_0!H589-PSK_AT_verzia_3_5!H529</f>
        <v>0</v>
      </c>
      <c r="I589" s="60">
        <f>PSK_AT_verzia_4_0!I589-PSK_AT_verzia_3_5!I529</f>
        <v>0</v>
      </c>
      <c r="J589" s="60">
        <f>PSK_AT_verzia_4_0!J589-PSK_AT_verzia_3_5!J529</f>
        <v>0</v>
      </c>
      <c r="K589" s="60">
        <f>PSK_AT_verzia_4_0!K589-PSK_AT_verzia_3_5!K529</f>
        <v>0</v>
      </c>
      <c r="L589" s="60">
        <f>PSK_AT_verzia_4_0!L589-PSK_AT_verzia_3_5!L529</f>
        <v>0</v>
      </c>
      <c r="M589" s="60">
        <f>PSK_AT_verzia_4_0!M589-PSK_AT_verzia_3_5!M529</f>
        <v>0</v>
      </c>
      <c r="N589" s="60">
        <f>PSK_AT_verzia_4_0!N589-PSK_AT_verzia_3_5!N529</f>
        <v>0</v>
      </c>
      <c r="O589" s="60">
        <f>PSK_AT_verzia_4_0!O589-PSK_AT_verzia_3_5!O529</f>
        <v>0</v>
      </c>
      <c r="P589" s="60">
        <f>PSK_AT_verzia_4_0!P589-PSK_AT_verzia_3_5!P529</f>
        <v>0</v>
      </c>
      <c r="Q589" s="60">
        <f>PSK_AT_verzia_4_0!Q589-PSK_AT_verzia_3_5!Q529</f>
        <v>0</v>
      </c>
    </row>
    <row r="590" spans="1:17" ht="28" customHeight="1" x14ac:dyDescent="0.35">
      <c r="A590" s="214"/>
      <c r="B590" s="215"/>
      <c r="C590" s="200">
        <f>PSK_AT_verzia_4_0!C590-PSK_AT_verzia_3_5!C530</f>
        <v>0</v>
      </c>
      <c r="D590" s="200">
        <f>PSK_AT_verzia_4_0!D590-PSK_AT_verzia_3_5!D530</f>
        <v>0</v>
      </c>
      <c r="E590" s="200">
        <f>PSK_AT_verzia_4_0!E590-PSK_AT_verzia_3_5!E530</f>
        <v>0</v>
      </c>
      <c r="F590" s="66" t="s">
        <v>41</v>
      </c>
      <c r="G590" s="67">
        <f>PSK_AT_verzia_4_0!G590-PSK_AT_verzia_3_5!G530</f>
        <v>0</v>
      </c>
      <c r="H590" s="67">
        <f>PSK_AT_verzia_4_0!H590-PSK_AT_verzia_3_5!H530</f>
        <v>0</v>
      </c>
      <c r="I590" s="67">
        <f>PSK_AT_verzia_4_0!I590-PSK_AT_verzia_3_5!I530</f>
        <v>0</v>
      </c>
      <c r="J590" s="67">
        <f>PSK_AT_verzia_4_0!J590-PSK_AT_verzia_3_5!J530</f>
        <v>0</v>
      </c>
      <c r="K590" s="67">
        <f>PSK_AT_verzia_4_0!K590-PSK_AT_verzia_3_5!K530</f>
        <v>0</v>
      </c>
      <c r="L590" s="67">
        <f>PSK_AT_verzia_4_0!L590-PSK_AT_verzia_3_5!L530</f>
        <v>0</v>
      </c>
      <c r="M590" s="67">
        <f>PSK_AT_verzia_4_0!M590-PSK_AT_verzia_3_5!M530</f>
        <v>0</v>
      </c>
      <c r="N590" s="67">
        <f>PSK_AT_verzia_4_0!N590-PSK_AT_verzia_3_5!N530</f>
        <v>0</v>
      </c>
      <c r="O590" s="67">
        <f>PSK_AT_verzia_4_0!O590-PSK_AT_verzia_3_5!O530</f>
        <v>0</v>
      </c>
      <c r="P590" s="67">
        <f>PSK_AT_verzia_4_0!P590-PSK_AT_verzia_3_5!P530</f>
        <v>0</v>
      </c>
      <c r="Q590" s="67">
        <f>PSK_AT_verzia_4_0!Q590-PSK_AT_verzia_3_5!Q530</f>
        <v>0</v>
      </c>
    </row>
    <row r="591" spans="1:17" ht="28" customHeight="1" x14ac:dyDescent="0.35">
      <c r="A591" s="222" t="s">
        <v>449</v>
      </c>
      <c r="B591" s="225" t="s">
        <v>746</v>
      </c>
      <c r="C591" s="57">
        <f>PSK_AT_verzia_4_0!C591-PSK_AT_verzia_3_5!C531</f>
        <v>0</v>
      </c>
      <c r="D591" s="57">
        <f>PSK_AT_verzia_4_0!D591-PSK_AT_verzia_3_5!D531</f>
        <v>0</v>
      </c>
      <c r="E591" s="57">
        <f>PSK_AT_verzia_4_0!E591-PSK_AT_verzia_3_5!E531</f>
        <v>0</v>
      </c>
      <c r="F591" s="59" t="s">
        <v>450</v>
      </c>
      <c r="G591" s="58">
        <f>PSK_AT_verzia_4_0!G591-PSK_AT_verzia_3_5!G531</f>
        <v>-2500000</v>
      </c>
      <c r="H591" s="58">
        <f>PSK_AT_verzia_4_0!H591-PSK_AT_verzia_3_5!H531</f>
        <v>0</v>
      </c>
      <c r="I591" s="58">
        <f>PSK_AT_verzia_4_0!I591-PSK_AT_verzia_3_5!I531</f>
        <v>0</v>
      </c>
      <c r="J591" s="58">
        <f>PSK_AT_verzia_4_0!J591-PSK_AT_verzia_3_5!J531</f>
        <v>0</v>
      </c>
      <c r="K591" s="58">
        <f>PSK_AT_verzia_4_0!K591-PSK_AT_verzia_3_5!K531</f>
        <v>0</v>
      </c>
      <c r="L591" s="58">
        <f>PSK_AT_verzia_4_0!L591-PSK_AT_verzia_3_5!L531</f>
        <v>0</v>
      </c>
      <c r="M591" s="58">
        <f>PSK_AT_verzia_4_0!M591-PSK_AT_verzia_3_5!M531</f>
        <v>0</v>
      </c>
      <c r="N591" s="58">
        <f>PSK_AT_verzia_4_0!N591-PSK_AT_verzia_3_5!N531</f>
        <v>0</v>
      </c>
      <c r="O591" s="58">
        <f>PSK_AT_verzia_4_0!O591-PSK_AT_verzia_3_5!O531</f>
        <v>0</v>
      </c>
      <c r="P591" s="58">
        <f>PSK_AT_verzia_4_0!P591-PSK_AT_verzia_3_5!P531</f>
        <v>0</v>
      </c>
      <c r="Q591" s="58">
        <f>PSK_AT_verzia_4_0!Q591-PSK_AT_verzia_3_5!Q531</f>
        <v>-2500000</v>
      </c>
    </row>
    <row r="592" spans="1:17" ht="28" customHeight="1" x14ac:dyDescent="0.35">
      <c r="A592" s="223"/>
      <c r="B592" s="226"/>
      <c r="C592" s="60">
        <f>PSK_AT_verzia_4_0!C592-PSK_AT_verzia_3_5!C532</f>
        <v>0</v>
      </c>
      <c r="D592" s="60">
        <f>PSK_AT_verzia_4_0!D592-PSK_AT_verzia_3_5!D532</f>
        <v>0</v>
      </c>
      <c r="E592" s="60">
        <f>PSK_AT_verzia_4_0!E592-PSK_AT_verzia_3_5!E532</f>
        <v>0</v>
      </c>
      <c r="F592" s="61" t="s">
        <v>36</v>
      </c>
      <c r="G592" s="60">
        <f>PSK_AT_verzia_4_0!G592-PSK_AT_verzia_3_5!G532</f>
        <v>-2500000</v>
      </c>
      <c r="H592" s="60">
        <f>PSK_AT_verzia_4_0!H592-PSK_AT_verzia_3_5!H532</f>
        <v>0</v>
      </c>
      <c r="I592" s="60">
        <f>PSK_AT_verzia_4_0!I592-PSK_AT_verzia_3_5!I532</f>
        <v>0</v>
      </c>
      <c r="J592" s="60">
        <f>PSK_AT_verzia_4_0!J592-PSK_AT_verzia_3_5!J532</f>
        <v>0</v>
      </c>
      <c r="K592" s="60">
        <f>PSK_AT_verzia_4_0!K592-PSK_AT_verzia_3_5!K532</f>
        <v>0</v>
      </c>
      <c r="L592" s="60">
        <f>PSK_AT_verzia_4_0!L592-PSK_AT_verzia_3_5!L532</f>
        <v>0</v>
      </c>
      <c r="M592" s="60">
        <f>PSK_AT_verzia_4_0!M592-PSK_AT_verzia_3_5!M532</f>
        <v>0</v>
      </c>
      <c r="N592" s="60">
        <f>PSK_AT_verzia_4_0!N592-PSK_AT_verzia_3_5!N532</f>
        <v>0</v>
      </c>
      <c r="O592" s="60">
        <f>PSK_AT_verzia_4_0!O592-PSK_AT_verzia_3_5!O532</f>
        <v>0</v>
      </c>
      <c r="P592" s="60">
        <f>PSK_AT_verzia_4_0!P592-PSK_AT_verzia_3_5!P532</f>
        <v>0</v>
      </c>
      <c r="Q592" s="60">
        <f>PSK_AT_verzia_4_0!Q592-PSK_AT_verzia_3_5!Q532</f>
        <v>-2500000</v>
      </c>
    </row>
    <row r="593" spans="1:17" ht="28" customHeight="1" x14ac:dyDescent="0.35">
      <c r="A593" s="223"/>
      <c r="B593" s="226"/>
      <c r="C593" s="200">
        <f>PSK_AT_verzia_4_0!C593-PSK_AT_verzia_3_5!C533</f>
        <v>0</v>
      </c>
      <c r="D593" s="200">
        <f>PSK_AT_verzia_4_0!D593-PSK_AT_verzia_3_5!D533</f>
        <v>0</v>
      </c>
      <c r="E593" s="200">
        <f>PSK_AT_verzia_4_0!E593-PSK_AT_verzia_3_5!E533</f>
        <v>0</v>
      </c>
      <c r="F593" s="66" t="s">
        <v>37</v>
      </c>
      <c r="G593" s="67">
        <f>PSK_AT_verzia_4_0!G593-PSK_AT_verzia_3_5!G533</f>
        <v>-2500000</v>
      </c>
      <c r="H593" s="67">
        <f>PSK_AT_verzia_4_0!H593-PSK_AT_verzia_3_5!H533</f>
        <v>0</v>
      </c>
      <c r="I593" s="67">
        <f>PSK_AT_verzia_4_0!I593-PSK_AT_verzia_3_5!I533</f>
        <v>0</v>
      </c>
      <c r="J593" s="67">
        <f>PSK_AT_verzia_4_0!J593-PSK_AT_verzia_3_5!J533</f>
        <v>0</v>
      </c>
      <c r="K593" s="67">
        <f>PSK_AT_verzia_4_0!K593-PSK_AT_verzia_3_5!K533</f>
        <v>0</v>
      </c>
      <c r="L593" s="67">
        <f>PSK_AT_verzia_4_0!L593-PSK_AT_verzia_3_5!L533</f>
        <v>0</v>
      </c>
      <c r="M593" s="67">
        <f>PSK_AT_verzia_4_0!M593-PSK_AT_verzia_3_5!M533</f>
        <v>0</v>
      </c>
      <c r="N593" s="67">
        <f>PSK_AT_verzia_4_0!N593-PSK_AT_verzia_3_5!N533</f>
        <v>0</v>
      </c>
      <c r="O593" s="67">
        <f>PSK_AT_verzia_4_0!O593-PSK_AT_verzia_3_5!O533</f>
        <v>0</v>
      </c>
      <c r="P593" s="67">
        <f>PSK_AT_verzia_4_0!P593-PSK_AT_verzia_3_5!P533</f>
        <v>0</v>
      </c>
      <c r="Q593" s="67">
        <f>PSK_AT_verzia_4_0!Q593-PSK_AT_verzia_3_5!Q533</f>
        <v>-2500000</v>
      </c>
    </row>
    <row r="594" spans="1:17" ht="28" customHeight="1" x14ac:dyDescent="0.35">
      <c r="A594" s="223"/>
      <c r="B594" s="226"/>
      <c r="C594" s="60">
        <f>PSK_AT_verzia_4_0!C594-PSK_AT_verzia_3_5!C534</f>
        <v>0</v>
      </c>
      <c r="D594" s="60">
        <f>PSK_AT_verzia_4_0!D594-PSK_AT_verzia_3_5!D534</f>
        <v>0</v>
      </c>
      <c r="E594" s="60">
        <f>PSK_AT_verzia_4_0!E594-PSK_AT_verzia_3_5!E534</f>
        <v>0</v>
      </c>
      <c r="F594" s="61" t="s">
        <v>150</v>
      </c>
      <c r="G594" s="60">
        <f>PSK_AT_verzia_4_0!G594-PSK_AT_verzia_3_5!G534</f>
        <v>-10556693</v>
      </c>
      <c r="H594" s="60">
        <f>PSK_AT_verzia_4_0!H594-PSK_AT_verzia_3_5!H534</f>
        <v>0</v>
      </c>
      <c r="I594" s="60">
        <f>PSK_AT_verzia_4_0!I594-PSK_AT_verzia_3_5!I534</f>
        <v>0</v>
      </c>
      <c r="J594" s="60">
        <f>PSK_AT_verzia_4_0!J594-PSK_AT_verzia_3_5!J534</f>
        <v>0</v>
      </c>
      <c r="K594" s="60">
        <f>PSK_AT_verzia_4_0!K594-PSK_AT_verzia_3_5!K534</f>
        <v>0</v>
      </c>
      <c r="L594" s="60">
        <f>PSK_AT_verzia_4_0!L594-PSK_AT_verzia_3_5!L534</f>
        <v>0</v>
      </c>
      <c r="M594" s="60">
        <f>PSK_AT_verzia_4_0!M594-PSK_AT_verzia_3_5!M534</f>
        <v>0</v>
      </c>
      <c r="N594" s="60">
        <f>PSK_AT_verzia_4_0!N594-PSK_AT_verzia_3_5!N534</f>
        <v>0</v>
      </c>
      <c r="O594" s="60">
        <f>PSK_AT_verzia_4_0!O594-PSK_AT_verzia_3_5!O534</f>
        <v>0</v>
      </c>
      <c r="P594" s="60">
        <f>PSK_AT_verzia_4_0!P594-PSK_AT_verzia_3_5!P534</f>
        <v>0</v>
      </c>
      <c r="Q594" s="60">
        <f>PSK_AT_verzia_4_0!Q594-PSK_AT_verzia_3_5!Q534</f>
        <v>-10556693</v>
      </c>
    </row>
    <row r="595" spans="1:17" ht="28" customHeight="1" x14ac:dyDescent="0.35">
      <c r="A595" s="223"/>
      <c r="B595" s="226"/>
      <c r="C595" s="200">
        <f>PSK_AT_verzia_4_0!C595-PSK_AT_verzia_3_5!C535</f>
        <v>0</v>
      </c>
      <c r="D595" s="200">
        <f>PSK_AT_verzia_4_0!D595-PSK_AT_verzia_3_5!D535</f>
        <v>0</v>
      </c>
      <c r="E595" s="200">
        <f>PSK_AT_verzia_4_0!E595-PSK_AT_verzia_3_5!E535</f>
        <v>0</v>
      </c>
      <c r="F595" s="66" t="s">
        <v>151</v>
      </c>
      <c r="G595" s="67">
        <f>PSK_AT_verzia_4_0!G595-PSK_AT_verzia_3_5!G535</f>
        <v>-10556693</v>
      </c>
      <c r="H595" s="67">
        <f>PSK_AT_verzia_4_0!H595-PSK_AT_verzia_3_5!H535</f>
        <v>0</v>
      </c>
      <c r="I595" s="67">
        <f>PSK_AT_verzia_4_0!I595-PSK_AT_verzia_3_5!I535</f>
        <v>0</v>
      </c>
      <c r="J595" s="67">
        <f>PSK_AT_verzia_4_0!J595-PSK_AT_verzia_3_5!J535</f>
        <v>0</v>
      </c>
      <c r="K595" s="67">
        <f>PSK_AT_verzia_4_0!K595-PSK_AT_verzia_3_5!K535</f>
        <v>0</v>
      </c>
      <c r="L595" s="67">
        <f>PSK_AT_verzia_4_0!L595-PSK_AT_verzia_3_5!L535</f>
        <v>0</v>
      </c>
      <c r="M595" s="67">
        <f>PSK_AT_verzia_4_0!M595-PSK_AT_verzia_3_5!M535</f>
        <v>0</v>
      </c>
      <c r="N595" s="67">
        <f>PSK_AT_verzia_4_0!N595-PSK_AT_verzia_3_5!N535</f>
        <v>0</v>
      </c>
      <c r="O595" s="67">
        <f>PSK_AT_verzia_4_0!O595-PSK_AT_verzia_3_5!O535</f>
        <v>0</v>
      </c>
      <c r="P595" s="67">
        <f>PSK_AT_verzia_4_0!P595-PSK_AT_verzia_3_5!P535</f>
        <v>0</v>
      </c>
      <c r="Q595" s="67">
        <f>PSK_AT_verzia_4_0!Q595-PSK_AT_verzia_3_5!Q535</f>
        <v>-10556693</v>
      </c>
    </row>
    <row r="596" spans="1:17" ht="28" customHeight="1" x14ac:dyDescent="0.35">
      <c r="A596" s="223"/>
      <c r="B596" s="226"/>
      <c r="C596" s="60">
        <f>PSK_AT_verzia_4_0!C596-PSK_AT_verzia_3_5!C536</f>
        <v>0</v>
      </c>
      <c r="D596" s="60">
        <f>PSK_AT_verzia_4_0!D596-PSK_AT_verzia_3_5!D536</f>
        <v>0</v>
      </c>
      <c r="E596" s="72">
        <f>PSK_AT_verzia_4_0!E596-PSK_AT_verzia_3_5!E536</f>
        <v>0</v>
      </c>
      <c r="F596" s="61" t="s">
        <v>107</v>
      </c>
      <c r="G596" s="60">
        <f>PSK_AT_verzia_4_0!G596-PSK_AT_verzia_3_5!G536</f>
        <v>10556693</v>
      </c>
      <c r="H596" s="60">
        <f>PSK_AT_verzia_4_0!H596-PSK_AT_verzia_3_5!H536</f>
        <v>0</v>
      </c>
      <c r="I596" s="60">
        <f>PSK_AT_verzia_4_0!I596-PSK_AT_verzia_3_5!I536</f>
        <v>0</v>
      </c>
      <c r="J596" s="60">
        <f>PSK_AT_verzia_4_0!J596-PSK_AT_verzia_3_5!J536</f>
        <v>0</v>
      </c>
      <c r="K596" s="60">
        <f>PSK_AT_verzia_4_0!K596-PSK_AT_verzia_3_5!K536</f>
        <v>0</v>
      </c>
      <c r="L596" s="60">
        <f>PSK_AT_verzia_4_0!L596-PSK_AT_verzia_3_5!L536</f>
        <v>0</v>
      </c>
      <c r="M596" s="60">
        <f>PSK_AT_verzia_4_0!M596-PSK_AT_verzia_3_5!M536</f>
        <v>0</v>
      </c>
      <c r="N596" s="60">
        <f>PSK_AT_verzia_4_0!N596-PSK_AT_verzia_3_5!N536</f>
        <v>0</v>
      </c>
      <c r="O596" s="60">
        <f>PSK_AT_verzia_4_0!O596-PSK_AT_verzia_3_5!O536</f>
        <v>0</v>
      </c>
      <c r="P596" s="60">
        <f>PSK_AT_verzia_4_0!P596-PSK_AT_verzia_3_5!P536</f>
        <v>0</v>
      </c>
      <c r="Q596" s="60">
        <f>PSK_AT_verzia_4_0!Q596-PSK_AT_verzia_3_5!Q536</f>
        <v>10556693</v>
      </c>
    </row>
    <row r="597" spans="1:17" ht="28" customHeight="1" x14ac:dyDescent="0.35">
      <c r="A597" s="223"/>
      <c r="B597" s="226"/>
      <c r="C597" s="200">
        <f>PSK_AT_verzia_4_0!C597-PSK_AT_verzia_3_5!C537</f>
        <v>0</v>
      </c>
      <c r="D597" s="200">
        <f>PSK_AT_verzia_4_0!D597-PSK_AT_verzia_3_5!D537</f>
        <v>0</v>
      </c>
      <c r="E597" s="200">
        <f>PSK_AT_verzia_4_0!E597-PSK_AT_verzia_3_5!E537</f>
        <v>0</v>
      </c>
      <c r="F597" s="66" t="s">
        <v>108</v>
      </c>
      <c r="G597" s="67">
        <f>PSK_AT_verzia_4_0!G597-PSK_AT_verzia_3_5!G537</f>
        <v>10556693</v>
      </c>
      <c r="H597" s="67">
        <f>PSK_AT_verzia_4_0!H597-PSK_AT_verzia_3_5!H537</f>
        <v>0</v>
      </c>
      <c r="I597" s="67">
        <f>PSK_AT_verzia_4_0!I597-PSK_AT_verzia_3_5!I537</f>
        <v>0</v>
      </c>
      <c r="J597" s="67">
        <f>PSK_AT_verzia_4_0!J597-PSK_AT_verzia_3_5!J537</f>
        <v>0</v>
      </c>
      <c r="K597" s="67">
        <f>PSK_AT_verzia_4_0!K597-PSK_AT_verzia_3_5!K537</f>
        <v>0</v>
      </c>
      <c r="L597" s="67">
        <f>PSK_AT_verzia_4_0!L597-PSK_AT_verzia_3_5!L537</f>
        <v>0</v>
      </c>
      <c r="M597" s="67">
        <f>PSK_AT_verzia_4_0!M597-PSK_AT_verzia_3_5!M537</f>
        <v>0</v>
      </c>
      <c r="N597" s="67">
        <f>PSK_AT_verzia_4_0!N597-PSK_AT_verzia_3_5!N537</f>
        <v>0</v>
      </c>
      <c r="O597" s="67">
        <f>PSK_AT_verzia_4_0!O597-PSK_AT_verzia_3_5!O537</f>
        <v>0</v>
      </c>
      <c r="P597" s="67">
        <f>PSK_AT_verzia_4_0!P597-PSK_AT_verzia_3_5!P537</f>
        <v>0</v>
      </c>
      <c r="Q597" s="67">
        <f>PSK_AT_verzia_4_0!Q597-PSK_AT_verzia_3_5!Q537</f>
        <v>10556693</v>
      </c>
    </row>
    <row r="598" spans="1:17" ht="28" customHeight="1" x14ac:dyDescent="0.35">
      <c r="A598" s="224"/>
      <c r="B598" s="227"/>
      <c r="C598" s="200">
        <f>PSK_AT_verzia_4_0!C598-PSK_AT_verzia_3_5!C538</f>
        <v>0</v>
      </c>
      <c r="D598" s="200">
        <f>PSK_AT_verzia_4_0!D598-PSK_AT_verzia_3_5!D538</f>
        <v>0</v>
      </c>
      <c r="E598" s="200">
        <f>PSK_AT_verzia_4_0!E598-PSK_AT_verzia_3_5!E538</f>
        <v>0</v>
      </c>
      <c r="F598" s="66" t="s">
        <v>109</v>
      </c>
      <c r="G598" s="74">
        <f>PSK_AT_verzia_4_0!G598-PSK_AT_verzia_3_5!G538</f>
        <v>0</v>
      </c>
      <c r="H598" s="74">
        <f>PSK_AT_verzia_4_0!H598-PSK_AT_verzia_3_5!H538</f>
        <v>0</v>
      </c>
      <c r="I598" s="74">
        <f>PSK_AT_verzia_4_0!I598-PSK_AT_verzia_3_5!I538</f>
        <v>0</v>
      </c>
      <c r="J598" s="74">
        <f>PSK_AT_verzia_4_0!J598-PSK_AT_verzia_3_5!J538</f>
        <v>0</v>
      </c>
      <c r="K598" s="74">
        <f>PSK_AT_verzia_4_0!K598-PSK_AT_verzia_3_5!K538</f>
        <v>0</v>
      </c>
      <c r="L598" s="74">
        <f>PSK_AT_verzia_4_0!L598-PSK_AT_verzia_3_5!L538</f>
        <v>0</v>
      </c>
      <c r="M598" s="74">
        <f>PSK_AT_verzia_4_0!M598-PSK_AT_verzia_3_5!M538</f>
        <v>0</v>
      </c>
      <c r="N598" s="74">
        <f>PSK_AT_verzia_4_0!N598-PSK_AT_verzia_3_5!N538</f>
        <v>0</v>
      </c>
      <c r="O598" s="74">
        <f>PSK_AT_verzia_4_0!O598-PSK_AT_verzia_3_5!O538</f>
        <v>0</v>
      </c>
      <c r="P598" s="74">
        <f>PSK_AT_verzia_4_0!P598-PSK_AT_verzia_3_5!P538</f>
        <v>0</v>
      </c>
      <c r="Q598" s="74">
        <f>PSK_AT_verzia_4_0!Q598-PSK_AT_verzia_3_5!Q538</f>
        <v>0</v>
      </c>
    </row>
    <row r="599" spans="1:17" ht="28" customHeight="1" x14ac:dyDescent="0.35">
      <c r="A599" s="214" t="s">
        <v>451</v>
      </c>
      <c r="B599" s="215" t="s">
        <v>452</v>
      </c>
      <c r="C599" s="57">
        <f>PSK_AT_verzia_4_0!C599-PSK_AT_verzia_3_5!C539</f>
        <v>0</v>
      </c>
      <c r="D599" s="57">
        <f>PSK_AT_verzia_4_0!D599-PSK_AT_verzia_3_5!D539</f>
        <v>0</v>
      </c>
      <c r="E599" s="57">
        <f>PSK_AT_verzia_4_0!E599-PSK_AT_verzia_3_5!E539</f>
        <v>0</v>
      </c>
      <c r="F599" s="59" t="s">
        <v>453</v>
      </c>
      <c r="G599" s="58">
        <f>PSK_AT_verzia_4_0!G599-PSK_AT_verzia_3_5!G539</f>
        <v>0</v>
      </c>
      <c r="H599" s="58">
        <f>PSK_AT_verzia_4_0!H599-PSK_AT_verzia_3_5!H539</f>
        <v>0</v>
      </c>
      <c r="I599" s="58">
        <f>PSK_AT_verzia_4_0!I599-PSK_AT_verzia_3_5!I539</f>
        <v>0</v>
      </c>
      <c r="J599" s="58">
        <f>PSK_AT_verzia_4_0!J599-PSK_AT_verzia_3_5!J539</f>
        <v>0</v>
      </c>
      <c r="K599" s="58">
        <f>PSK_AT_verzia_4_0!K599-PSK_AT_verzia_3_5!K539</f>
        <v>0</v>
      </c>
      <c r="L599" s="58">
        <f>PSK_AT_verzia_4_0!L599-PSK_AT_verzia_3_5!L539</f>
        <v>0</v>
      </c>
      <c r="M599" s="58">
        <f>PSK_AT_verzia_4_0!M599-PSK_AT_verzia_3_5!M539</f>
        <v>0</v>
      </c>
      <c r="N599" s="58">
        <f>PSK_AT_verzia_4_0!N599-PSK_AT_verzia_3_5!N539</f>
        <v>0</v>
      </c>
      <c r="O599" s="58">
        <f>PSK_AT_verzia_4_0!O599-PSK_AT_verzia_3_5!O539</f>
        <v>0</v>
      </c>
      <c r="P599" s="58">
        <f>PSK_AT_verzia_4_0!P599-PSK_AT_verzia_3_5!P539</f>
        <v>0</v>
      </c>
      <c r="Q599" s="58">
        <f>PSK_AT_verzia_4_0!Q599-PSK_AT_verzia_3_5!Q539</f>
        <v>0</v>
      </c>
    </row>
    <row r="600" spans="1:17" ht="28" customHeight="1" x14ac:dyDescent="0.35">
      <c r="A600" s="214"/>
      <c r="B600" s="215"/>
      <c r="C600" s="60">
        <f>PSK_AT_verzia_4_0!C600-PSK_AT_verzia_3_5!C540</f>
        <v>0</v>
      </c>
      <c r="D600" s="60">
        <f>PSK_AT_verzia_4_0!D600-PSK_AT_verzia_3_5!D540</f>
        <v>0</v>
      </c>
      <c r="E600" s="60">
        <f>PSK_AT_verzia_4_0!E600-PSK_AT_verzia_3_5!E540</f>
        <v>0</v>
      </c>
      <c r="F600" s="61" t="s">
        <v>40</v>
      </c>
      <c r="G600" s="60">
        <f>PSK_AT_verzia_4_0!G600-PSK_AT_verzia_3_5!G540</f>
        <v>0</v>
      </c>
      <c r="H600" s="60">
        <f>PSK_AT_verzia_4_0!H600-PSK_AT_verzia_3_5!H540</f>
        <v>0</v>
      </c>
      <c r="I600" s="60">
        <f>PSK_AT_verzia_4_0!I600-PSK_AT_verzia_3_5!I540</f>
        <v>0</v>
      </c>
      <c r="J600" s="60">
        <f>PSK_AT_verzia_4_0!J600-PSK_AT_verzia_3_5!J540</f>
        <v>0</v>
      </c>
      <c r="K600" s="60">
        <f>PSK_AT_verzia_4_0!K600-PSK_AT_verzia_3_5!K540</f>
        <v>0</v>
      </c>
      <c r="L600" s="60">
        <f>PSK_AT_verzia_4_0!L600-PSK_AT_verzia_3_5!L540</f>
        <v>0</v>
      </c>
      <c r="M600" s="60">
        <f>PSK_AT_verzia_4_0!M600-PSK_AT_verzia_3_5!M540</f>
        <v>0</v>
      </c>
      <c r="N600" s="60">
        <f>PSK_AT_verzia_4_0!N600-PSK_AT_verzia_3_5!N540</f>
        <v>0</v>
      </c>
      <c r="O600" s="60">
        <f>PSK_AT_verzia_4_0!O600-PSK_AT_verzia_3_5!O540</f>
        <v>0</v>
      </c>
      <c r="P600" s="60">
        <f>PSK_AT_verzia_4_0!P600-PSK_AT_verzia_3_5!P540</f>
        <v>0</v>
      </c>
      <c r="Q600" s="60">
        <f>PSK_AT_verzia_4_0!Q600-PSK_AT_verzia_3_5!Q540</f>
        <v>0</v>
      </c>
    </row>
    <row r="601" spans="1:17" ht="28" customHeight="1" x14ac:dyDescent="0.35">
      <c r="A601" s="214"/>
      <c r="B601" s="215"/>
      <c r="C601" s="200">
        <f>PSK_AT_verzia_4_0!C601-PSK_AT_verzia_3_5!C541</f>
        <v>0</v>
      </c>
      <c r="D601" s="200">
        <f>PSK_AT_verzia_4_0!D601-PSK_AT_verzia_3_5!D541</f>
        <v>0</v>
      </c>
      <c r="E601" s="200">
        <f>PSK_AT_verzia_4_0!E601-PSK_AT_verzia_3_5!E541</f>
        <v>0</v>
      </c>
      <c r="F601" s="66" t="s">
        <v>41</v>
      </c>
      <c r="G601" s="67">
        <f>PSK_AT_verzia_4_0!G601-PSK_AT_verzia_3_5!G541</f>
        <v>0</v>
      </c>
      <c r="H601" s="67">
        <f>PSK_AT_verzia_4_0!H601-PSK_AT_verzia_3_5!H541</f>
        <v>0</v>
      </c>
      <c r="I601" s="67">
        <f>PSK_AT_verzia_4_0!I601-PSK_AT_verzia_3_5!I541</f>
        <v>0</v>
      </c>
      <c r="J601" s="67">
        <f>PSK_AT_verzia_4_0!J601-PSK_AT_verzia_3_5!J541</f>
        <v>0</v>
      </c>
      <c r="K601" s="67">
        <f>PSK_AT_verzia_4_0!K601-PSK_AT_verzia_3_5!K541</f>
        <v>0</v>
      </c>
      <c r="L601" s="67">
        <f>PSK_AT_verzia_4_0!L601-PSK_AT_verzia_3_5!L541</f>
        <v>0</v>
      </c>
      <c r="M601" s="67">
        <f>PSK_AT_verzia_4_0!M601-PSK_AT_verzia_3_5!M541</f>
        <v>0</v>
      </c>
      <c r="N601" s="67">
        <f>PSK_AT_verzia_4_0!N601-PSK_AT_verzia_3_5!N541</f>
        <v>0</v>
      </c>
      <c r="O601" s="67">
        <f>PSK_AT_verzia_4_0!O601-PSK_AT_verzia_3_5!O541</f>
        <v>0</v>
      </c>
      <c r="P601" s="67">
        <f>PSK_AT_verzia_4_0!P601-PSK_AT_verzia_3_5!P541</f>
        <v>0</v>
      </c>
      <c r="Q601" s="67">
        <f>PSK_AT_verzia_4_0!Q601-PSK_AT_verzia_3_5!Q541</f>
        <v>0</v>
      </c>
    </row>
    <row r="602" spans="1:17" ht="28" customHeight="1" x14ac:dyDescent="0.35">
      <c r="A602" s="214"/>
      <c r="B602" s="215"/>
      <c r="C602" s="60">
        <f>PSK_AT_verzia_4_0!C602-PSK_AT_verzia_3_5!C542</f>
        <v>0</v>
      </c>
      <c r="D602" s="60">
        <f>PSK_AT_verzia_4_0!D602-PSK_AT_verzia_3_5!D542</f>
        <v>0</v>
      </c>
      <c r="E602" s="60">
        <f>PSK_AT_verzia_4_0!E602-PSK_AT_verzia_3_5!E542</f>
        <v>0</v>
      </c>
      <c r="F602" s="61" t="s">
        <v>36</v>
      </c>
      <c r="G602" s="60">
        <f>PSK_AT_verzia_4_0!G602-PSK_AT_verzia_3_5!G542</f>
        <v>0</v>
      </c>
      <c r="H602" s="60">
        <f>PSK_AT_verzia_4_0!H602-PSK_AT_verzia_3_5!H542</f>
        <v>0</v>
      </c>
      <c r="I602" s="60">
        <f>PSK_AT_verzia_4_0!I602-PSK_AT_verzia_3_5!I542</f>
        <v>0</v>
      </c>
      <c r="J602" s="60">
        <f>PSK_AT_verzia_4_0!J602-PSK_AT_verzia_3_5!J542</f>
        <v>0</v>
      </c>
      <c r="K602" s="60">
        <f>PSK_AT_verzia_4_0!K602-PSK_AT_verzia_3_5!K542</f>
        <v>0</v>
      </c>
      <c r="L602" s="60">
        <f>PSK_AT_verzia_4_0!L602-PSK_AT_verzia_3_5!L542</f>
        <v>0</v>
      </c>
      <c r="M602" s="60">
        <f>PSK_AT_verzia_4_0!M602-PSK_AT_verzia_3_5!M542</f>
        <v>0</v>
      </c>
      <c r="N602" s="60">
        <f>PSK_AT_verzia_4_0!N602-PSK_AT_verzia_3_5!N542</f>
        <v>0</v>
      </c>
      <c r="O602" s="60">
        <f>PSK_AT_verzia_4_0!O602-PSK_AT_verzia_3_5!O542</f>
        <v>0</v>
      </c>
      <c r="P602" s="60">
        <f>PSK_AT_verzia_4_0!P602-PSK_AT_verzia_3_5!P542</f>
        <v>0</v>
      </c>
      <c r="Q602" s="60">
        <f>PSK_AT_verzia_4_0!Q602-PSK_AT_verzia_3_5!Q542</f>
        <v>0</v>
      </c>
    </row>
    <row r="603" spans="1:17" ht="28" customHeight="1" x14ac:dyDescent="0.35">
      <c r="A603" s="214"/>
      <c r="B603" s="215"/>
      <c r="C603" s="200">
        <f>PSK_AT_verzia_4_0!C603-PSK_AT_verzia_3_5!C543</f>
        <v>0</v>
      </c>
      <c r="D603" s="200">
        <f>PSK_AT_verzia_4_0!D603-PSK_AT_verzia_3_5!D543</f>
        <v>0</v>
      </c>
      <c r="E603" s="200">
        <f>PSK_AT_verzia_4_0!E603-PSK_AT_verzia_3_5!E543</f>
        <v>0</v>
      </c>
      <c r="F603" s="66" t="s">
        <v>37</v>
      </c>
      <c r="G603" s="67">
        <f>PSK_AT_verzia_4_0!G603-PSK_AT_verzia_3_5!G543</f>
        <v>0</v>
      </c>
      <c r="H603" s="67">
        <f>PSK_AT_verzia_4_0!H603-PSK_AT_verzia_3_5!H543</f>
        <v>0</v>
      </c>
      <c r="I603" s="67">
        <f>PSK_AT_verzia_4_0!I603-PSK_AT_verzia_3_5!I543</f>
        <v>0</v>
      </c>
      <c r="J603" s="67">
        <f>PSK_AT_verzia_4_0!J603-PSK_AT_verzia_3_5!J543</f>
        <v>0</v>
      </c>
      <c r="K603" s="67">
        <f>PSK_AT_verzia_4_0!K603-PSK_AT_verzia_3_5!K543</f>
        <v>0</v>
      </c>
      <c r="L603" s="67">
        <f>PSK_AT_verzia_4_0!L603-PSK_AT_verzia_3_5!L543</f>
        <v>0</v>
      </c>
      <c r="M603" s="67">
        <f>PSK_AT_verzia_4_0!M603-PSK_AT_verzia_3_5!M543</f>
        <v>0</v>
      </c>
      <c r="N603" s="67">
        <f>PSK_AT_verzia_4_0!N603-PSK_AT_verzia_3_5!N543</f>
        <v>0</v>
      </c>
      <c r="O603" s="67">
        <f>PSK_AT_verzia_4_0!O603-PSK_AT_verzia_3_5!O543</f>
        <v>0</v>
      </c>
      <c r="P603" s="67">
        <f>PSK_AT_verzia_4_0!P603-PSK_AT_verzia_3_5!P543</f>
        <v>0</v>
      </c>
      <c r="Q603" s="67">
        <f>PSK_AT_verzia_4_0!Q603-PSK_AT_verzia_3_5!Q543</f>
        <v>0</v>
      </c>
    </row>
    <row r="604" spans="1:17" ht="28" customHeight="1" x14ac:dyDescent="0.35">
      <c r="A604" s="214" t="s">
        <v>454</v>
      </c>
      <c r="B604" s="215" t="s">
        <v>455</v>
      </c>
      <c r="C604" s="57">
        <f>PSK_AT_verzia_4_0!C604-PSK_AT_verzia_3_5!C544</f>
        <v>0</v>
      </c>
      <c r="D604" s="57">
        <f>PSK_AT_verzia_4_0!D604-PSK_AT_verzia_3_5!D544</f>
        <v>0</v>
      </c>
      <c r="E604" s="57">
        <f>PSK_AT_verzia_4_0!E604-PSK_AT_verzia_3_5!E544</f>
        <v>0</v>
      </c>
      <c r="F604" s="59" t="s">
        <v>456</v>
      </c>
      <c r="G604" s="58">
        <f>PSK_AT_verzia_4_0!G604-PSK_AT_verzia_3_5!G544</f>
        <v>0</v>
      </c>
      <c r="H604" s="58">
        <f>PSK_AT_verzia_4_0!H604-PSK_AT_verzia_3_5!H544</f>
        <v>0</v>
      </c>
      <c r="I604" s="58">
        <f>PSK_AT_verzia_4_0!I604-PSK_AT_verzia_3_5!I544</f>
        <v>0</v>
      </c>
      <c r="J604" s="58">
        <f>PSK_AT_verzia_4_0!J604-PSK_AT_verzia_3_5!J544</f>
        <v>0</v>
      </c>
      <c r="K604" s="58">
        <f>PSK_AT_verzia_4_0!K604-PSK_AT_verzia_3_5!K544</f>
        <v>0</v>
      </c>
      <c r="L604" s="58">
        <f>PSK_AT_verzia_4_0!L604-PSK_AT_verzia_3_5!L544</f>
        <v>0</v>
      </c>
      <c r="M604" s="58">
        <f>PSK_AT_verzia_4_0!M604-PSK_AT_verzia_3_5!M544</f>
        <v>0</v>
      </c>
      <c r="N604" s="58">
        <f>PSK_AT_verzia_4_0!N604-PSK_AT_verzia_3_5!N544</f>
        <v>0</v>
      </c>
      <c r="O604" s="58">
        <f>PSK_AT_verzia_4_0!O604-PSK_AT_verzia_3_5!O544</f>
        <v>0</v>
      </c>
      <c r="P604" s="58">
        <f>PSK_AT_verzia_4_0!P604-PSK_AT_verzia_3_5!P544</f>
        <v>0</v>
      </c>
      <c r="Q604" s="58">
        <f>PSK_AT_verzia_4_0!Q604-PSK_AT_verzia_3_5!Q544</f>
        <v>0</v>
      </c>
    </row>
    <row r="605" spans="1:17" ht="28" customHeight="1" x14ac:dyDescent="0.35">
      <c r="A605" s="214"/>
      <c r="B605" s="215"/>
      <c r="C605" s="60">
        <f>PSK_AT_verzia_4_0!C605-PSK_AT_verzia_3_5!C545</f>
        <v>0</v>
      </c>
      <c r="D605" s="60">
        <f>PSK_AT_verzia_4_0!D605-PSK_AT_verzia_3_5!D545</f>
        <v>0</v>
      </c>
      <c r="E605" s="60">
        <f>PSK_AT_verzia_4_0!E605-PSK_AT_verzia_3_5!E545</f>
        <v>0</v>
      </c>
      <c r="F605" s="61" t="s">
        <v>36</v>
      </c>
      <c r="G605" s="60">
        <f>PSK_AT_verzia_4_0!G605-PSK_AT_verzia_3_5!G545</f>
        <v>0</v>
      </c>
      <c r="H605" s="60">
        <f>PSK_AT_verzia_4_0!H605-PSK_AT_verzia_3_5!H545</f>
        <v>0</v>
      </c>
      <c r="I605" s="60">
        <f>PSK_AT_verzia_4_0!I605-PSK_AT_verzia_3_5!I545</f>
        <v>0</v>
      </c>
      <c r="J605" s="60">
        <f>PSK_AT_verzia_4_0!J605-PSK_AT_verzia_3_5!J545</f>
        <v>0</v>
      </c>
      <c r="K605" s="60">
        <f>PSK_AT_verzia_4_0!K605-PSK_AT_verzia_3_5!K545</f>
        <v>0</v>
      </c>
      <c r="L605" s="60">
        <f>PSK_AT_verzia_4_0!L605-PSK_AT_verzia_3_5!L545</f>
        <v>0</v>
      </c>
      <c r="M605" s="60">
        <f>PSK_AT_verzia_4_0!M605-PSK_AT_verzia_3_5!M545</f>
        <v>0</v>
      </c>
      <c r="N605" s="60">
        <f>PSK_AT_verzia_4_0!N605-PSK_AT_verzia_3_5!N545</f>
        <v>0</v>
      </c>
      <c r="O605" s="60">
        <f>PSK_AT_verzia_4_0!O605-PSK_AT_verzia_3_5!O545</f>
        <v>0</v>
      </c>
      <c r="P605" s="60">
        <f>PSK_AT_verzia_4_0!P605-PSK_AT_verzia_3_5!P545</f>
        <v>0</v>
      </c>
      <c r="Q605" s="60">
        <f>PSK_AT_verzia_4_0!Q605-PSK_AT_verzia_3_5!Q545</f>
        <v>0</v>
      </c>
    </row>
    <row r="606" spans="1:17" ht="28" customHeight="1" x14ac:dyDescent="0.35">
      <c r="A606" s="214"/>
      <c r="B606" s="215"/>
      <c r="C606" s="200">
        <f>PSK_AT_verzia_4_0!C606-PSK_AT_verzia_3_5!C546</f>
        <v>0</v>
      </c>
      <c r="D606" s="200">
        <f>PSK_AT_verzia_4_0!D606-PSK_AT_verzia_3_5!D546</f>
        <v>0</v>
      </c>
      <c r="E606" s="200">
        <f>PSK_AT_verzia_4_0!E606-PSK_AT_verzia_3_5!E546</f>
        <v>0</v>
      </c>
      <c r="F606" s="66" t="s">
        <v>37</v>
      </c>
      <c r="G606" s="67">
        <f>PSK_AT_verzia_4_0!G606-PSK_AT_verzia_3_5!G546</f>
        <v>0</v>
      </c>
      <c r="H606" s="67">
        <f>PSK_AT_verzia_4_0!H606-PSK_AT_verzia_3_5!H546</f>
        <v>0</v>
      </c>
      <c r="I606" s="67">
        <f>PSK_AT_verzia_4_0!I606-PSK_AT_verzia_3_5!I546</f>
        <v>0</v>
      </c>
      <c r="J606" s="67">
        <f>PSK_AT_verzia_4_0!J606-PSK_AT_verzia_3_5!J546</f>
        <v>0</v>
      </c>
      <c r="K606" s="67">
        <f>PSK_AT_verzia_4_0!K606-PSK_AT_verzia_3_5!K546</f>
        <v>0</v>
      </c>
      <c r="L606" s="67">
        <f>PSK_AT_verzia_4_0!L606-PSK_AT_verzia_3_5!L546</f>
        <v>0</v>
      </c>
      <c r="M606" s="67">
        <f>PSK_AT_verzia_4_0!M606-PSK_AT_verzia_3_5!M546</f>
        <v>0</v>
      </c>
      <c r="N606" s="67">
        <f>PSK_AT_verzia_4_0!N606-PSK_AT_verzia_3_5!N546</f>
        <v>0</v>
      </c>
      <c r="O606" s="67">
        <f>PSK_AT_verzia_4_0!O606-PSK_AT_verzia_3_5!O546</f>
        <v>0</v>
      </c>
      <c r="P606" s="67">
        <f>PSK_AT_verzia_4_0!P606-PSK_AT_verzia_3_5!P546</f>
        <v>0</v>
      </c>
      <c r="Q606" s="67">
        <f>PSK_AT_verzia_4_0!Q606-PSK_AT_verzia_3_5!Q546</f>
        <v>0</v>
      </c>
    </row>
    <row r="607" spans="1:17" ht="28" customHeight="1" x14ac:dyDescent="0.35">
      <c r="A607" s="214" t="s">
        <v>457</v>
      </c>
      <c r="B607" s="215" t="s">
        <v>458</v>
      </c>
      <c r="C607" s="57">
        <f>PSK_AT_verzia_4_0!C607-PSK_AT_verzia_3_5!C547</f>
        <v>0</v>
      </c>
      <c r="D607" s="57">
        <f>PSK_AT_verzia_4_0!D607-PSK_AT_verzia_3_5!D547</f>
        <v>0</v>
      </c>
      <c r="E607" s="57">
        <f>PSK_AT_verzia_4_0!E607-PSK_AT_verzia_3_5!E547</f>
        <v>0</v>
      </c>
      <c r="F607" s="59" t="s">
        <v>459</v>
      </c>
      <c r="G607" s="58">
        <f>PSK_AT_verzia_4_0!G607-PSK_AT_verzia_3_5!G547</f>
        <v>-3000000</v>
      </c>
      <c r="H607" s="58">
        <f>PSK_AT_verzia_4_0!H607-PSK_AT_verzia_3_5!H547</f>
        <v>0</v>
      </c>
      <c r="I607" s="58">
        <f>PSK_AT_verzia_4_0!I607-PSK_AT_verzia_3_5!I547</f>
        <v>0</v>
      </c>
      <c r="J607" s="58">
        <f>PSK_AT_verzia_4_0!J607-PSK_AT_verzia_3_5!J547</f>
        <v>0</v>
      </c>
      <c r="K607" s="58">
        <f>PSK_AT_verzia_4_0!K607-PSK_AT_verzia_3_5!K547</f>
        <v>0</v>
      </c>
      <c r="L607" s="58">
        <f>PSK_AT_verzia_4_0!L607-PSK_AT_verzia_3_5!L547</f>
        <v>0</v>
      </c>
      <c r="M607" s="58">
        <f>PSK_AT_verzia_4_0!M607-PSK_AT_verzia_3_5!M547</f>
        <v>0</v>
      </c>
      <c r="N607" s="58">
        <f>PSK_AT_verzia_4_0!N607-PSK_AT_verzia_3_5!N547</f>
        <v>0</v>
      </c>
      <c r="O607" s="58">
        <f>PSK_AT_verzia_4_0!O607-PSK_AT_verzia_3_5!O547</f>
        <v>0</v>
      </c>
      <c r="P607" s="58">
        <f>PSK_AT_verzia_4_0!P607-PSK_AT_verzia_3_5!P547</f>
        <v>0</v>
      </c>
      <c r="Q607" s="58">
        <f>PSK_AT_verzia_4_0!Q607-PSK_AT_verzia_3_5!Q547</f>
        <v>-3000000</v>
      </c>
    </row>
    <row r="608" spans="1:17" ht="28" customHeight="1" x14ac:dyDescent="0.35">
      <c r="A608" s="214"/>
      <c r="B608" s="215"/>
      <c r="C608" s="60">
        <f>PSK_AT_verzia_4_0!C608-PSK_AT_verzia_3_5!C548</f>
        <v>0</v>
      </c>
      <c r="D608" s="60">
        <f>PSK_AT_verzia_4_0!D608-PSK_AT_verzia_3_5!D548</f>
        <v>0</v>
      </c>
      <c r="E608" s="60">
        <f>PSK_AT_verzia_4_0!E608-PSK_AT_verzia_3_5!E548</f>
        <v>0</v>
      </c>
      <c r="F608" s="61" t="s">
        <v>36</v>
      </c>
      <c r="G608" s="60">
        <f>PSK_AT_verzia_4_0!G608-PSK_AT_verzia_3_5!G548</f>
        <v>-3000000</v>
      </c>
      <c r="H608" s="60">
        <f>PSK_AT_verzia_4_0!H608-PSK_AT_verzia_3_5!H548</f>
        <v>0</v>
      </c>
      <c r="I608" s="60">
        <f>PSK_AT_verzia_4_0!I608-PSK_AT_verzia_3_5!I548</f>
        <v>0</v>
      </c>
      <c r="J608" s="60">
        <f>PSK_AT_verzia_4_0!J608-PSK_AT_verzia_3_5!J548</f>
        <v>0</v>
      </c>
      <c r="K608" s="60">
        <f>PSK_AT_verzia_4_0!K608-PSK_AT_verzia_3_5!K548</f>
        <v>0</v>
      </c>
      <c r="L608" s="60">
        <f>PSK_AT_verzia_4_0!L608-PSK_AT_verzia_3_5!L548</f>
        <v>0</v>
      </c>
      <c r="M608" s="60">
        <f>PSK_AT_verzia_4_0!M608-PSK_AT_verzia_3_5!M548</f>
        <v>0</v>
      </c>
      <c r="N608" s="60">
        <f>PSK_AT_verzia_4_0!N608-PSK_AT_verzia_3_5!N548</f>
        <v>0</v>
      </c>
      <c r="O608" s="60">
        <f>PSK_AT_verzia_4_0!O608-PSK_AT_verzia_3_5!O548</f>
        <v>0</v>
      </c>
      <c r="P608" s="60">
        <f>PSK_AT_verzia_4_0!P608-PSK_AT_verzia_3_5!P548</f>
        <v>0</v>
      </c>
      <c r="Q608" s="60">
        <f>PSK_AT_verzia_4_0!Q608-PSK_AT_verzia_3_5!Q548</f>
        <v>-3000000</v>
      </c>
    </row>
    <row r="609" spans="1:17" ht="28" customHeight="1" x14ac:dyDescent="0.35">
      <c r="A609" s="214"/>
      <c r="B609" s="215"/>
      <c r="C609" s="200">
        <f>PSK_AT_verzia_4_0!C609-PSK_AT_verzia_3_5!C549</f>
        <v>0</v>
      </c>
      <c r="D609" s="200">
        <f>PSK_AT_verzia_4_0!D609-PSK_AT_verzia_3_5!D549</f>
        <v>0</v>
      </c>
      <c r="E609" s="200">
        <f>PSK_AT_verzia_4_0!E609-PSK_AT_verzia_3_5!E549</f>
        <v>0</v>
      </c>
      <c r="F609" s="66" t="s">
        <v>37</v>
      </c>
      <c r="G609" s="67">
        <f>PSK_AT_verzia_4_0!G609-PSK_AT_verzia_3_5!G549</f>
        <v>-3000000</v>
      </c>
      <c r="H609" s="67">
        <f>PSK_AT_verzia_4_0!H609-PSK_AT_verzia_3_5!H549</f>
        <v>0</v>
      </c>
      <c r="I609" s="67">
        <f>PSK_AT_verzia_4_0!I609-PSK_AT_verzia_3_5!I549</f>
        <v>0</v>
      </c>
      <c r="J609" s="67">
        <f>PSK_AT_verzia_4_0!J609-PSK_AT_verzia_3_5!J549</f>
        <v>0</v>
      </c>
      <c r="K609" s="67">
        <f>PSK_AT_verzia_4_0!K609-PSK_AT_verzia_3_5!K549</f>
        <v>0</v>
      </c>
      <c r="L609" s="67">
        <f>PSK_AT_verzia_4_0!L609-PSK_AT_verzia_3_5!L549</f>
        <v>0</v>
      </c>
      <c r="M609" s="67">
        <f>PSK_AT_verzia_4_0!M609-PSK_AT_verzia_3_5!M549</f>
        <v>0</v>
      </c>
      <c r="N609" s="67">
        <f>PSK_AT_verzia_4_0!N609-PSK_AT_verzia_3_5!N549</f>
        <v>0</v>
      </c>
      <c r="O609" s="67">
        <f>PSK_AT_verzia_4_0!O609-PSK_AT_verzia_3_5!O549</f>
        <v>0</v>
      </c>
      <c r="P609" s="67">
        <f>PSK_AT_verzia_4_0!P609-PSK_AT_verzia_3_5!P549</f>
        <v>0</v>
      </c>
      <c r="Q609" s="67">
        <f>PSK_AT_verzia_4_0!Q609-PSK_AT_verzia_3_5!Q549</f>
        <v>-3000000</v>
      </c>
    </row>
    <row r="610" spans="1:17" ht="28" customHeight="1" x14ac:dyDescent="0.35">
      <c r="A610" s="214"/>
      <c r="B610" s="215"/>
      <c r="C610" s="60">
        <f>PSK_AT_verzia_4_0!C610-PSK_AT_verzia_3_5!C550</f>
        <v>0</v>
      </c>
      <c r="D610" s="60">
        <f>PSK_AT_verzia_4_0!D610-PSK_AT_verzia_3_5!D550</f>
        <v>0</v>
      </c>
      <c r="E610" s="60">
        <f>PSK_AT_verzia_4_0!E610-PSK_AT_verzia_3_5!E550</f>
        <v>0</v>
      </c>
      <c r="F610" s="61" t="s">
        <v>321</v>
      </c>
      <c r="G610" s="60">
        <f>PSK_AT_verzia_4_0!G610-PSK_AT_verzia_3_5!G550</f>
        <v>0</v>
      </c>
      <c r="H610" s="60">
        <f>PSK_AT_verzia_4_0!H610-PSK_AT_verzia_3_5!H550</f>
        <v>0</v>
      </c>
      <c r="I610" s="60">
        <f>PSK_AT_verzia_4_0!I610-PSK_AT_verzia_3_5!I550</f>
        <v>0</v>
      </c>
      <c r="J610" s="60">
        <f>PSK_AT_verzia_4_0!J610-PSK_AT_verzia_3_5!J550</f>
        <v>0</v>
      </c>
      <c r="K610" s="60">
        <f>PSK_AT_verzia_4_0!K610-PSK_AT_verzia_3_5!K550</f>
        <v>0</v>
      </c>
      <c r="L610" s="60">
        <f>PSK_AT_verzia_4_0!L610-PSK_AT_verzia_3_5!L550</f>
        <v>0</v>
      </c>
      <c r="M610" s="60">
        <f>PSK_AT_verzia_4_0!M610-PSK_AT_verzia_3_5!M550</f>
        <v>0</v>
      </c>
      <c r="N610" s="60">
        <f>PSK_AT_verzia_4_0!N610-PSK_AT_verzia_3_5!N550</f>
        <v>0</v>
      </c>
      <c r="O610" s="60">
        <f>PSK_AT_verzia_4_0!O610-PSK_AT_verzia_3_5!O550</f>
        <v>0</v>
      </c>
      <c r="P610" s="60">
        <f>PSK_AT_verzia_4_0!P610-PSK_AT_verzia_3_5!P550</f>
        <v>0</v>
      </c>
      <c r="Q610" s="60">
        <f>PSK_AT_verzia_4_0!Q610-PSK_AT_verzia_3_5!Q550</f>
        <v>0</v>
      </c>
    </row>
    <row r="611" spans="1:17" ht="28" customHeight="1" x14ac:dyDescent="0.35">
      <c r="A611" s="214"/>
      <c r="B611" s="215"/>
      <c r="C611" s="200">
        <f>PSK_AT_verzia_4_0!C611-PSK_AT_verzia_3_5!C551</f>
        <v>0</v>
      </c>
      <c r="D611" s="200">
        <f>PSK_AT_verzia_4_0!D611-PSK_AT_verzia_3_5!D551</f>
        <v>0</v>
      </c>
      <c r="E611" s="200">
        <f>PSK_AT_verzia_4_0!E611-PSK_AT_verzia_3_5!E551</f>
        <v>0</v>
      </c>
      <c r="F611" s="66" t="s">
        <v>322</v>
      </c>
      <c r="G611" s="67">
        <f>PSK_AT_verzia_4_0!G611-PSK_AT_verzia_3_5!G551</f>
        <v>0</v>
      </c>
      <c r="H611" s="67">
        <f>PSK_AT_verzia_4_0!H611-PSK_AT_verzia_3_5!H551</f>
        <v>0</v>
      </c>
      <c r="I611" s="67">
        <f>PSK_AT_verzia_4_0!I611-PSK_AT_verzia_3_5!I551</f>
        <v>0</v>
      </c>
      <c r="J611" s="67">
        <f>PSK_AT_verzia_4_0!J611-PSK_AT_verzia_3_5!J551</f>
        <v>0</v>
      </c>
      <c r="K611" s="67">
        <f>PSK_AT_verzia_4_0!K611-PSK_AT_verzia_3_5!K551</f>
        <v>0</v>
      </c>
      <c r="L611" s="67">
        <f>PSK_AT_verzia_4_0!L611-PSK_AT_verzia_3_5!L551</f>
        <v>0</v>
      </c>
      <c r="M611" s="67">
        <f>PSK_AT_verzia_4_0!M611-PSK_AT_verzia_3_5!M551</f>
        <v>0</v>
      </c>
      <c r="N611" s="67">
        <f>PSK_AT_verzia_4_0!N611-PSK_AT_verzia_3_5!N551</f>
        <v>0</v>
      </c>
      <c r="O611" s="67">
        <f>PSK_AT_verzia_4_0!O611-PSK_AT_verzia_3_5!O551</f>
        <v>0</v>
      </c>
      <c r="P611" s="67">
        <f>PSK_AT_verzia_4_0!P611-PSK_AT_verzia_3_5!P551</f>
        <v>0</v>
      </c>
      <c r="Q611" s="67">
        <f>PSK_AT_verzia_4_0!Q611-PSK_AT_verzia_3_5!Q551</f>
        <v>0</v>
      </c>
    </row>
    <row r="612" spans="1:17" ht="28" customHeight="1" x14ac:dyDescent="0.35">
      <c r="A612" s="214" t="s">
        <v>460</v>
      </c>
      <c r="B612" s="215" t="s">
        <v>461</v>
      </c>
      <c r="C612" s="57">
        <f>PSK_AT_verzia_4_0!C612-PSK_AT_verzia_3_5!C552</f>
        <v>0</v>
      </c>
      <c r="D612" s="57">
        <f>PSK_AT_verzia_4_0!D612-PSK_AT_verzia_3_5!D552</f>
        <v>0</v>
      </c>
      <c r="E612" s="57">
        <f>PSK_AT_verzia_4_0!E612-PSK_AT_verzia_3_5!E552</f>
        <v>0</v>
      </c>
      <c r="F612" s="59" t="s">
        <v>462</v>
      </c>
      <c r="G612" s="58">
        <f>PSK_AT_verzia_4_0!G612-PSK_AT_verzia_3_5!G552</f>
        <v>0</v>
      </c>
      <c r="H612" s="58">
        <f>PSK_AT_verzia_4_0!H612-PSK_AT_verzia_3_5!H552</f>
        <v>0</v>
      </c>
      <c r="I612" s="58">
        <f>PSK_AT_verzia_4_0!I612-PSK_AT_verzia_3_5!I552</f>
        <v>0</v>
      </c>
      <c r="J612" s="58">
        <f>PSK_AT_verzia_4_0!J612-PSK_AT_verzia_3_5!J552</f>
        <v>0</v>
      </c>
      <c r="K612" s="58">
        <f>PSK_AT_verzia_4_0!K612-PSK_AT_verzia_3_5!K552</f>
        <v>0</v>
      </c>
      <c r="L612" s="58">
        <f>PSK_AT_verzia_4_0!L612-PSK_AT_verzia_3_5!L552</f>
        <v>0</v>
      </c>
      <c r="M612" s="58">
        <f>PSK_AT_verzia_4_0!M612-PSK_AT_verzia_3_5!M552</f>
        <v>0</v>
      </c>
      <c r="N612" s="58">
        <f>PSK_AT_verzia_4_0!N612-PSK_AT_verzia_3_5!N552</f>
        <v>0</v>
      </c>
      <c r="O612" s="58">
        <f>PSK_AT_verzia_4_0!O612-PSK_AT_verzia_3_5!O552</f>
        <v>0</v>
      </c>
      <c r="P612" s="58">
        <f>PSK_AT_verzia_4_0!P612-PSK_AT_verzia_3_5!P552</f>
        <v>0</v>
      </c>
      <c r="Q612" s="58">
        <f>PSK_AT_verzia_4_0!Q612-PSK_AT_verzia_3_5!Q552</f>
        <v>0</v>
      </c>
    </row>
    <row r="613" spans="1:17" ht="28" customHeight="1" x14ac:dyDescent="0.35">
      <c r="A613" s="214"/>
      <c r="B613" s="215"/>
      <c r="C613" s="60">
        <f>PSK_AT_verzia_4_0!C613-PSK_AT_verzia_3_5!C553</f>
        <v>0</v>
      </c>
      <c r="D613" s="60">
        <f>PSK_AT_verzia_4_0!D613-PSK_AT_verzia_3_5!D553</f>
        <v>0</v>
      </c>
      <c r="E613" s="60">
        <f>PSK_AT_verzia_4_0!E613-PSK_AT_verzia_3_5!E553</f>
        <v>0</v>
      </c>
      <c r="F613" s="61" t="s">
        <v>36</v>
      </c>
      <c r="G613" s="60">
        <f>PSK_AT_verzia_4_0!G613-PSK_AT_verzia_3_5!G553</f>
        <v>0</v>
      </c>
      <c r="H613" s="60">
        <f>PSK_AT_verzia_4_0!H613-PSK_AT_verzia_3_5!H553</f>
        <v>0</v>
      </c>
      <c r="I613" s="60">
        <f>PSK_AT_verzia_4_0!I613-PSK_AT_verzia_3_5!I553</f>
        <v>0</v>
      </c>
      <c r="J613" s="60">
        <f>PSK_AT_verzia_4_0!J613-PSK_AT_verzia_3_5!J553</f>
        <v>0</v>
      </c>
      <c r="K613" s="60">
        <f>PSK_AT_verzia_4_0!K613-PSK_AT_verzia_3_5!K553</f>
        <v>0</v>
      </c>
      <c r="L613" s="60">
        <f>PSK_AT_verzia_4_0!L613-PSK_AT_verzia_3_5!L553</f>
        <v>0</v>
      </c>
      <c r="M613" s="60">
        <f>PSK_AT_verzia_4_0!M613-PSK_AT_verzia_3_5!M553</f>
        <v>0</v>
      </c>
      <c r="N613" s="60">
        <f>PSK_AT_verzia_4_0!N613-PSK_AT_verzia_3_5!N553</f>
        <v>0</v>
      </c>
      <c r="O613" s="60">
        <f>PSK_AT_verzia_4_0!O613-PSK_AT_verzia_3_5!O553</f>
        <v>0</v>
      </c>
      <c r="P613" s="60">
        <f>PSK_AT_verzia_4_0!P613-PSK_AT_verzia_3_5!P553</f>
        <v>0</v>
      </c>
      <c r="Q613" s="60">
        <f>PSK_AT_verzia_4_0!Q613-PSK_AT_verzia_3_5!Q553</f>
        <v>0</v>
      </c>
    </row>
    <row r="614" spans="1:17" ht="28" customHeight="1" x14ac:dyDescent="0.35">
      <c r="A614" s="214"/>
      <c r="B614" s="215"/>
      <c r="C614" s="200">
        <f>PSK_AT_verzia_4_0!C614-PSK_AT_verzia_3_5!C554</f>
        <v>0</v>
      </c>
      <c r="D614" s="200">
        <f>PSK_AT_verzia_4_0!D614-PSK_AT_verzia_3_5!D554</f>
        <v>0</v>
      </c>
      <c r="E614" s="200">
        <f>PSK_AT_verzia_4_0!E614-PSK_AT_verzia_3_5!E554</f>
        <v>0</v>
      </c>
      <c r="F614" s="66" t="s">
        <v>37</v>
      </c>
      <c r="G614" s="67">
        <f>PSK_AT_verzia_4_0!G614-PSK_AT_verzia_3_5!G554</f>
        <v>0</v>
      </c>
      <c r="H614" s="67">
        <f>PSK_AT_verzia_4_0!H614-PSK_AT_verzia_3_5!H554</f>
        <v>0</v>
      </c>
      <c r="I614" s="67">
        <f>PSK_AT_verzia_4_0!I614-PSK_AT_verzia_3_5!I554</f>
        <v>0</v>
      </c>
      <c r="J614" s="67">
        <f>PSK_AT_verzia_4_0!J614-PSK_AT_verzia_3_5!J554</f>
        <v>0</v>
      </c>
      <c r="K614" s="67">
        <f>PSK_AT_verzia_4_0!K614-PSK_AT_verzia_3_5!K554</f>
        <v>0</v>
      </c>
      <c r="L614" s="67">
        <f>PSK_AT_verzia_4_0!L614-PSK_AT_verzia_3_5!L554</f>
        <v>0</v>
      </c>
      <c r="M614" s="67">
        <f>PSK_AT_verzia_4_0!M614-PSK_AT_verzia_3_5!M554</f>
        <v>0</v>
      </c>
      <c r="N614" s="67">
        <f>PSK_AT_verzia_4_0!N614-PSK_AT_verzia_3_5!N554</f>
        <v>0</v>
      </c>
      <c r="O614" s="67">
        <f>PSK_AT_verzia_4_0!O614-PSK_AT_verzia_3_5!O554</f>
        <v>0</v>
      </c>
      <c r="P614" s="67">
        <f>PSK_AT_verzia_4_0!P614-PSK_AT_verzia_3_5!P554</f>
        <v>0</v>
      </c>
      <c r="Q614" s="67">
        <f>PSK_AT_verzia_4_0!Q614-PSK_AT_verzia_3_5!Q554</f>
        <v>0</v>
      </c>
    </row>
    <row r="615" spans="1:17" ht="28" customHeight="1" x14ac:dyDescent="0.35">
      <c r="A615" s="45" t="s">
        <v>790</v>
      </c>
      <c r="B615" s="46" t="s">
        <v>789</v>
      </c>
      <c r="C615" s="47">
        <f>PSK_AT_verzia_4_0!C615</f>
        <v>0</v>
      </c>
      <c r="D615" s="47">
        <f>PSK_AT_verzia_4_0!D615</f>
        <v>0</v>
      </c>
      <c r="E615" s="47">
        <f>PSK_AT_verzia_4_0!E615</f>
        <v>5500000</v>
      </c>
      <c r="F615" s="49"/>
      <c r="G615" s="48">
        <f>PSK_AT_verzia_4_0!G615</f>
        <v>5500000</v>
      </c>
      <c r="H615" s="48">
        <f>PSK_AT_verzia_4_0!H615</f>
        <v>0</v>
      </c>
      <c r="I615" s="48">
        <f>PSK_AT_verzia_4_0!I615</f>
        <v>0</v>
      </c>
      <c r="J615" s="48">
        <f>PSK_AT_verzia_4_0!J615</f>
        <v>0</v>
      </c>
      <c r="K615" s="48">
        <f>PSK_AT_verzia_4_0!K615</f>
        <v>0</v>
      </c>
      <c r="L615" s="48">
        <f>PSK_AT_verzia_4_0!L615</f>
        <v>0</v>
      </c>
      <c r="M615" s="48">
        <f>PSK_AT_verzia_4_0!M615</f>
        <v>0</v>
      </c>
      <c r="N615" s="48">
        <f>PSK_AT_verzia_4_0!N615</f>
        <v>0</v>
      </c>
      <c r="O615" s="48">
        <f>PSK_AT_verzia_4_0!O615</f>
        <v>0</v>
      </c>
      <c r="P615" s="48">
        <f>PSK_AT_verzia_4_0!P615</f>
        <v>0</v>
      </c>
      <c r="Q615" s="48">
        <f>PSK_AT_verzia_4_0!Q615</f>
        <v>5500000</v>
      </c>
    </row>
    <row r="616" spans="1:17" ht="87" customHeight="1" x14ac:dyDescent="0.35">
      <c r="A616" s="228" t="s">
        <v>437</v>
      </c>
      <c r="B616" s="231" t="s">
        <v>438</v>
      </c>
      <c r="C616" s="52">
        <f>PSK_AT_verzia_4_0!C616</f>
        <v>0</v>
      </c>
      <c r="D616" s="52">
        <f>PSK_AT_verzia_4_0!D616</f>
        <v>0</v>
      </c>
      <c r="E616" s="52">
        <f>PSK_AT_verzia_4_0!E616</f>
        <v>5500000</v>
      </c>
      <c r="F616" s="54" t="s">
        <v>439</v>
      </c>
      <c r="G616" s="52">
        <f>PSK_AT_verzia_4_0!G616</f>
        <v>5500000</v>
      </c>
      <c r="H616" s="52">
        <f>PSK_AT_verzia_4_0!H616</f>
        <v>0</v>
      </c>
      <c r="I616" s="52">
        <f>PSK_AT_verzia_4_0!I616</f>
        <v>0</v>
      </c>
      <c r="J616" s="52">
        <f>PSK_AT_verzia_4_0!J616</f>
        <v>0</v>
      </c>
      <c r="K616" s="52">
        <f>PSK_AT_verzia_4_0!K616</f>
        <v>0</v>
      </c>
      <c r="L616" s="52">
        <f>PSK_AT_verzia_4_0!L616</f>
        <v>0</v>
      </c>
      <c r="M616" s="52">
        <f>PSK_AT_verzia_4_0!M616</f>
        <v>0</v>
      </c>
      <c r="N616" s="52">
        <f>PSK_AT_verzia_4_0!N616</f>
        <v>0</v>
      </c>
      <c r="O616" s="52">
        <f>PSK_AT_verzia_4_0!O616</f>
        <v>0</v>
      </c>
      <c r="P616" s="52">
        <f>PSK_AT_verzia_4_0!P616</f>
        <v>0</v>
      </c>
      <c r="Q616" s="52">
        <f>PSK_AT_verzia_4_0!Q616</f>
        <v>5500000</v>
      </c>
    </row>
    <row r="617" spans="1:17" ht="28.5" x14ac:dyDescent="0.35">
      <c r="A617" s="229"/>
      <c r="B617" s="232"/>
      <c r="C617" s="60">
        <f>PSK_AT_verzia_4_0!C617</f>
        <v>0</v>
      </c>
      <c r="D617" s="60">
        <f>PSK_AT_verzia_4_0!D617</f>
        <v>0</v>
      </c>
      <c r="E617" s="60">
        <f>PSK_AT_verzia_4_0!E617</f>
        <v>5500000</v>
      </c>
      <c r="F617" s="61" t="s">
        <v>36</v>
      </c>
      <c r="G617" s="60">
        <f>PSK_AT_verzia_4_0!G617</f>
        <v>5500000</v>
      </c>
      <c r="H617" s="60">
        <f>PSK_AT_verzia_4_0!H617</f>
        <v>0</v>
      </c>
      <c r="I617" s="60">
        <f>PSK_AT_verzia_4_0!I617</f>
        <v>0</v>
      </c>
      <c r="J617" s="60">
        <f>PSK_AT_verzia_4_0!J617</f>
        <v>0</v>
      </c>
      <c r="K617" s="60">
        <f>PSK_AT_verzia_4_0!K617</f>
        <v>0</v>
      </c>
      <c r="L617" s="60">
        <f>PSK_AT_verzia_4_0!L617</f>
        <v>0</v>
      </c>
      <c r="M617" s="60">
        <f>PSK_AT_verzia_4_0!M617</f>
        <v>0</v>
      </c>
      <c r="N617" s="60">
        <f>PSK_AT_verzia_4_0!N617</f>
        <v>0</v>
      </c>
      <c r="O617" s="60">
        <f>PSK_AT_verzia_4_0!O617</f>
        <v>0</v>
      </c>
      <c r="P617" s="60">
        <f>PSK_AT_verzia_4_0!P617</f>
        <v>0</v>
      </c>
      <c r="Q617" s="60">
        <f>PSK_AT_verzia_4_0!Q617</f>
        <v>5500000</v>
      </c>
    </row>
    <row r="618" spans="1:17" ht="28.5" x14ac:dyDescent="0.35">
      <c r="A618" s="230"/>
      <c r="B618" s="233"/>
      <c r="C618" s="200">
        <f>PSK_AT_verzia_4_0!C618</f>
        <v>0</v>
      </c>
      <c r="D618" s="200">
        <f>PSK_AT_verzia_4_0!D618</f>
        <v>0</v>
      </c>
      <c r="E618" s="200">
        <f>PSK_AT_verzia_4_0!E618</f>
        <v>0</v>
      </c>
      <c r="F618" s="66" t="s">
        <v>37</v>
      </c>
      <c r="G618" s="67">
        <f>PSK_AT_verzia_4_0!G618</f>
        <v>5500000</v>
      </c>
      <c r="H618" s="67">
        <f>PSK_AT_verzia_4_0!H618</f>
        <v>0</v>
      </c>
      <c r="I618" s="67">
        <f>PSK_AT_verzia_4_0!I618</f>
        <v>0</v>
      </c>
      <c r="J618" s="67">
        <f>PSK_AT_verzia_4_0!J618</f>
        <v>0</v>
      </c>
      <c r="K618" s="67">
        <f>PSK_AT_verzia_4_0!K618</f>
        <v>0</v>
      </c>
      <c r="L618" s="67">
        <f>PSK_AT_verzia_4_0!L618</f>
        <v>0</v>
      </c>
      <c r="M618" s="67">
        <f>PSK_AT_verzia_4_0!M618</f>
        <v>0</v>
      </c>
      <c r="N618" s="67">
        <f>PSK_AT_verzia_4_0!N618</f>
        <v>0</v>
      </c>
      <c r="O618" s="67">
        <f>PSK_AT_verzia_4_0!O618</f>
        <v>0</v>
      </c>
      <c r="P618" s="67">
        <f>PSK_AT_verzia_4_0!P618</f>
        <v>0</v>
      </c>
      <c r="Q618" s="67">
        <f>PSK_AT_verzia_4_0!Q618</f>
        <v>5500000</v>
      </c>
    </row>
    <row r="619" spans="1:17" ht="28" customHeight="1" x14ac:dyDescent="0.35">
      <c r="A619" s="39" t="s">
        <v>463</v>
      </c>
      <c r="B619" s="40" t="s">
        <v>16</v>
      </c>
      <c r="C619" s="41">
        <f>PSK_AT_verzia_4_0!C619-PSK_AT_verzia_3_5!C555</f>
        <v>0</v>
      </c>
      <c r="D619" s="41">
        <f>PSK_AT_verzia_4_0!D619-PSK_AT_verzia_3_5!D555</f>
        <v>0</v>
      </c>
      <c r="E619" s="41">
        <f>PSK_AT_verzia_4_0!E619-PSK_AT_verzia_3_5!E555</f>
        <v>0</v>
      </c>
      <c r="F619" s="42"/>
      <c r="G619" s="42">
        <f>PSK_AT_verzia_4_0!G619-PSK_AT_verzia_3_5!G555</f>
        <v>0</v>
      </c>
      <c r="H619" s="42">
        <f>PSK_AT_verzia_4_0!H619-PSK_AT_verzia_3_5!H555</f>
        <v>0</v>
      </c>
      <c r="I619" s="42">
        <f>PSK_AT_verzia_4_0!I619-PSK_AT_verzia_3_5!I555</f>
        <v>0</v>
      </c>
      <c r="J619" s="42">
        <f>PSK_AT_verzia_4_0!J619-PSK_AT_verzia_3_5!J555</f>
        <v>-1262135</v>
      </c>
      <c r="K619" s="42">
        <f>PSK_AT_verzia_4_0!K619-PSK_AT_verzia_3_5!K555</f>
        <v>-1262135</v>
      </c>
      <c r="L619" s="42">
        <f>PSK_AT_verzia_4_0!L619-PSK_AT_verzia_3_5!L555</f>
        <v>0</v>
      </c>
      <c r="M619" s="42">
        <f>PSK_AT_verzia_4_0!M619-PSK_AT_verzia_3_5!M555</f>
        <v>0</v>
      </c>
      <c r="N619" s="42">
        <f>PSK_AT_verzia_4_0!N619-PSK_AT_verzia_3_5!N555</f>
        <v>1262135</v>
      </c>
      <c r="O619" s="42">
        <f>PSK_AT_verzia_4_0!O619-PSK_AT_verzia_3_5!O555</f>
        <v>1262135</v>
      </c>
      <c r="P619" s="42">
        <f>PSK_AT_verzia_4_0!P619-PSK_AT_verzia_3_5!P555</f>
        <v>0</v>
      </c>
      <c r="Q619" s="42">
        <f>PSK_AT_verzia_4_0!Q619-PSK_AT_verzia_3_5!Q555</f>
        <v>0</v>
      </c>
    </row>
    <row r="620" spans="1:17" ht="28" customHeight="1" x14ac:dyDescent="0.35">
      <c r="A620" s="45" t="s">
        <v>464</v>
      </c>
      <c r="B620" s="46" t="s">
        <v>465</v>
      </c>
      <c r="C620" s="47">
        <f>PSK_AT_verzia_4_0!C620-PSK_AT_verzia_3_5!C556</f>
        <v>0</v>
      </c>
      <c r="D620" s="47">
        <f>PSK_AT_verzia_4_0!D620-PSK_AT_verzia_3_5!D556</f>
        <v>0</v>
      </c>
      <c r="E620" s="47">
        <f>PSK_AT_verzia_4_0!E620-PSK_AT_verzia_3_5!E556</f>
        <v>0</v>
      </c>
      <c r="F620" s="82" t="s">
        <v>466</v>
      </c>
      <c r="G620" s="48">
        <f>PSK_AT_verzia_4_0!G620-PSK_AT_verzia_3_5!G556</f>
        <v>-1262135</v>
      </c>
      <c r="H620" s="48">
        <f>PSK_AT_verzia_4_0!H620-PSK_AT_verzia_3_5!H556</f>
        <v>-1262135</v>
      </c>
      <c r="I620" s="48">
        <f>PSK_AT_verzia_4_0!I620-PSK_AT_verzia_3_5!I556</f>
        <v>0</v>
      </c>
      <c r="J620" s="48">
        <f>PSK_AT_verzia_4_0!J620-PSK_AT_verzia_3_5!J556</f>
        <v>-1262135</v>
      </c>
      <c r="K620" s="48">
        <f>PSK_AT_verzia_4_0!K620-PSK_AT_verzia_3_5!K556</f>
        <v>-1262135</v>
      </c>
      <c r="L620" s="48">
        <f>PSK_AT_verzia_4_0!L620-PSK_AT_verzia_3_5!L556</f>
        <v>0</v>
      </c>
      <c r="M620" s="48">
        <f>PSK_AT_verzia_4_0!M620-PSK_AT_verzia_3_5!M556</f>
        <v>0</v>
      </c>
      <c r="N620" s="48">
        <f>PSK_AT_verzia_4_0!N620-PSK_AT_verzia_3_5!N556</f>
        <v>0</v>
      </c>
      <c r="O620" s="48">
        <f>PSK_AT_verzia_4_0!O620-PSK_AT_verzia_3_5!O556</f>
        <v>0</v>
      </c>
      <c r="P620" s="48">
        <f>PSK_AT_verzia_4_0!P620-PSK_AT_verzia_3_5!P556</f>
        <v>0</v>
      </c>
      <c r="Q620" s="48">
        <f>PSK_AT_verzia_4_0!Q620-PSK_AT_verzia_3_5!Q556</f>
        <v>0</v>
      </c>
    </row>
    <row r="621" spans="1:17" ht="28" customHeight="1" x14ac:dyDescent="0.35">
      <c r="A621" s="87" t="s">
        <v>467</v>
      </c>
      <c r="B621" s="88" t="s">
        <v>465</v>
      </c>
      <c r="C621" s="52">
        <f>PSK_AT_verzia_4_0!C621-PSK_AT_verzia_3_5!C557</f>
        <v>0</v>
      </c>
      <c r="D621" s="52">
        <f>PSK_AT_verzia_4_0!D621-PSK_AT_verzia_3_5!D557</f>
        <v>0</v>
      </c>
      <c r="E621" s="52">
        <f>PSK_AT_verzia_4_0!E621-PSK_AT_verzia_3_5!E557</f>
        <v>0</v>
      </c>
      <c r="F621" s="54"/>
      <c r="G621" s="52">
        <f>PSK_AT_verzia_4_0!G621-PSK_AT_verzia_3_5!G557</f>
        <v>-1262135</v>
      </c>
      <c r="H621" s="52">
        <f>PSK_AT_verzia_4_0!H621-PSK_AT_verzia_3_5!H557</f>
        <v>-1262135</v>
      </c>
      <c r="I621" s="52">
        <f>PSK_AT_verzia_4_0!I621-PSK_AT_verzia_3_5!I557</f>
        <v>0</v>
      </c>
      <c r="J621" s="52">
        <f>PSK_AT_verzia_4_0!J621-PSK_AT_verzia_3_5!J557</f>
        <v>-1262135</v>
      </c>
      <c r="K621" s="52">
        <f>PSK_AT_verzia_4_0!K621-PSK_AT_verzia_3_5!K557</f>
        <v>-1262135</v>
      </c>
      <c r="L621" s="52">
        <f>PSK_AT_verzia_4_0!L621-PSK_AT_verzia_3_5!L557</f>
        <v>0</v>
      </c>
      <c r="M621" s="52">
        <f>PSK_AT_verzia_4_0!M621-PSK_AT_verzia_3_5!M557</f>
        <v>0</v>
      </c>
      <c r="N621" s="52">
        <f>PSK_AT_verzia_4_0!N621-PSK_AT_verzia_3_5!N557</f>
        <v>0</v>
      </c>
      <c r="O621" s="52">
        <f>PSK_AT_verzia_4_0!O621-PSK_AT_verzia_3_5!O557</f>
        <v>0</v>
      </c>
      <c r="P621" s="52">
        <f>PSK_AT_verzia_4_0!P621-PSK_AT_verzia_3_5!P557</f>
        <v>0</v>
      </c>
      <c r="Q621" s="52">
        <f>PSK_AT_verzia_4_0!Q621-PSK_AT_verzia_3_5!Q557</f>
        <v>0</v>
      </c>
    </row>
    <row r="622" spans="1:17" ht="28" customHeight="1" x14ac:dyDescent="0.35">
      <c r="A622" s="122" t="s">
        <v>468</v>
      </c>
      <c r="B622" s="123" t="s">
        <v>465</v>
      </c>
      <c r="C622" s="200">
        <f>PSK_AT_verzia_4_0!C622-PSK_AT_verzia_3_5!C558</f>
        <v>0</v>
      </c>
      <c r="D622" s="200">
        <f>PSK_AT_verzia_4_0!D622-PSK_AT_verzia_3_5!D558</f>
        <v>0</v>
      </c>
      <c r="E622" s="200">
        <f>PSK_AT_verzia_4_0!E622-PSK_AT_verzia_3_5!E558</f>
        <v>0</v>
      </c>
      <c r="F622" s="126" t="s">
        <v>37</v>
      </c>
      <c r="G622" s="124">
        <f>PSK_AT_verzia_4_0!G622-PSK_AT_verzia_3_5!G558</f>
        <v>-1262135</v>
      </c>
      <c r="H622" s="124">
        <f>PSK_AT_verzia_4_0!H622-PSK_AT_verzia_3_5!H558</f>
        <v>-1262135</v>
      </c>
      <c r="I622" s="124">
        <f>PSK_AT_verzia_4_0!I622-PSK_AT_verzia_3_5!I558</f>
        <v>0</v>
      </c>
      <c r="J622" s="124">
        <f>PSK_AT_verzia_4_0!J622-PSK_AT_verzia_3_5!J558</f>
        <v>-1262135</v>
      </c>
      <c r="K622" s="124">
        <f>PSK_AT_verzia_4_0!K622-PSK_AT_verzia_3_5!K558</f>
        <v>-1262135</v>
      </c>
      <c r="L622" s="124">
        <f>PSK_AT_verzia_4_0!L622-PSK_AT_verzia_3_5!L558</f>
        <v>0</v>
      </c>
      <c r="M622" s="124">
        <f>PSK_AT_verzia_4_0!M622-PSK_AT_verzia_3_5!M558</f>
        <v>0</v>
      </c>
      <c r="N622" s="124">
        <f>PSK_AT_verzia_4_0!N622-PSK_AT_verzia_3_5!N558</f>
        <v>0</v>
      </c>
      <c r="O622" s="124">
        <f>PSK_AT_verzia_4_0!O622-PSK_AT_verzia_3_5!O558</f>
        <v>0</v>
      </c>
      <c r="P622" s="124">
        <f>PSK_AT_verzia_4_0!P622-PSK_AT_verzia_3_5!P558</f>
        <v>0</v>
      </c>
      <c r="Q622" s="124">
        <f>PSK_AT_verzia_4_0!Q622-PSK_AT_verzia_3_5!Q558</f>
        <v>0</v>
      </c>
    </row>
    <row r="623" spans="1:17" ht="28" customHeight="1" x14ac:dyDescent="0.35">
      <c r="A623" s="45" t="s">
        <v>469</v>
      </c>
      <c r="B623" s="46" t="s">
        <v>470</v>
      </c>
      <c r="C623" s="47">
        <f>PSK_AT_verzia_4_0!C623-PSK_AT_verzia_3_5!C559</f>
        <v>0</v>
      </c>
      <c r="D623" s="47">
        <f>PSK_AT_verzia_4_0!D623-PSK_AT_verzia_3_5!D559</f>
        <v>0</v>
      </c>
      <c r="E623" s="47">
        <f>PSK_AT_verzia_4_0!E623-PSK_AT_verzia_3_5!E559</f>
        <v>0</v>
      </c>
      <c r="F623" s="82" t="s">
        <v>466</v>
      </c>
      <c r="G623" s="48">
        <f>PSK_AT_verzia_4_0!G623-PSK_AT_verzia_3_5!G559</f>
        <v>0</v>
      </c>
      <c r="H623" s="48">
        <f>PSK_AT_verzia_4_0!H623-PSK_AT_verzia_3_5!H559</f>
        <v>0</v>
      </c>
      <c r="I623" s="48">
        <f>PSK_AT_verzia_4_0!I623-PSK_AT_verzia_3_5!I559</f>
        <v>0</v>
      </c>
      <c r="J623" s="48">
        <f>PSK_AT_verzia_4_0!J623-PSK_AT_verzia_3_5!J559</f>
        <v>0</v>
      </c>
      <c r="K623" s="48">
        <f>PSK_AT_verzia_4_0!K623-PSK_AT_verzia_3_5!K559</f>
        <v>0</v>
      </c>
      <c r="L623" s="48">
        <f>PSK_AT_verzia_4_0!L623-PSK_AT_verzia_3_5!L559</f>
        <v>0</v>
      </c>
      <c r="M623" s="48">
        <f>PSK_AT_verzia_4_0!M623-PSK_AT_verzia_3_5!M559</f>
        <v>0</v>
      </c>
      <c r="N623" s="48">
        <f>PSK_AT_verzia_4_0!N623-PSK_AT_verzia_3_5!N559</f>
        <v>0</v>
      </c>
      <c r="O623" s="48">
        <f>PSK_AT_verzia_4_0!O623-PSK_AT_verzia_3_5!O559</f>
        <v>0</v>
      </c>
      <c r="P623" s="48">
        <f>PSK_AT_verzia_4_0!P623-PSK_AT_verzia_3_5!P559</f>
        <v>0</v>
      </c>
      <c r="Q623" s="48">
        <f>PSK_AT_verzia_4_0!Q623-PSK_AT_verzia_3_5!Q559</f>
        <v>0</v>
      </c>
    </row>
    <row r="624" spans="1:17" ht="28" customHeight="1" x14ac:dyDescent="0.35">
      <c r="A624" s="87" t="s">
        <v>471</v>
      </c>
      <c r="B624" s="88" t="s">
        <v>470</v>
      </c>
      <c r="C624" s="52">
        <f>PSK_AT_verzia_4_0!C624-PSK_AT_verzia_3_5!C560</f>
        <v>0</v>
      </c>
      <c r="D624" s="52">
        <f>PSK_AT_verzia_4_0!D624-PSK_AT_verzia_3_5!D560</f>
        <v>0</v>
      </c>
      <c r="E624" s="52">
        <f>PSK_AT_verzia_4_0!E624-PSK_AT_verzia_3_5!E560</f>
        <v>0</v>
      </c>
      <c r="F624" s="54"/>
      <c r="G624" s="52">
        <f>PSK_AT_verzia_4_0!G624-PSK_AT_verzia_3_5!G560</f>
        <v>0</v>
      </c>
      <c r="H624" s="52">
        <f>PSK_AT_verzia_4_0!H624-PSK_AT_verzia_3_5!H560</f>
        <v>0</v>
      </c>
      <c r="I624" s="52">
        <f>PSK_AT_verzia_4_0!I624-PSK_AT_verzia_3_5!I560</f>
        <v>0</v>
      </c>
      <c r="J624" s="52">
        <f>PSK_AT_verzia_4_0!J624-PSK_AT_verzia_3_5!J560</f>
        <v>0</v>
      </c>
      <c r="K624" s="52">
        <f>PSK_AT_verzia_4_0!K624-PSK_AT_verzia_3_5!K560</f>
        <v>0</v>
      </c>
      <c r="L624" s="52">
        <f>PSK_AT_verzia_4_0!L624-PSK_AT_verzia_3_5!L560</f>
        <v>0</v>
      </c>
      <c r="M624" s="52">
        <f>PSK_AT_verzia_4_0!M624-PSK_AT_verzia_3_5!M560</f>
        <v>0</v>
      </c>
      <c r="N624" s="52">
        <f>PSK_AT_verzia_4_0!N624-PSK_AT_verzia_3_5!N560</f>
        <v>0</v>
      </c>
      <c r="O624" s="52">
        <f>PSK_AT_verzia_4_0!O624-PSK_AT_verzia_3_5!O560</f>
        <v>0</v>
      </c>
      <c r="P624" s="52">
        <f>PSK_AT_verzia_4_0!P624-PSK_AT_verzia_3_5!P560</f>
        <v>0</v>
      </c>
      <c r="Q624" s="52">
        <f>PSK_AT_verzia_4_0!Q624-PSK_AT_verzia_3_5!Q560</f>
        <v>0</v>
      </c>
    </row>
    <row r="625" spans="1:20" ht="28" customHeight="1" x14ac:dyDescent="0.35">
      <c r="A625" s="122" t="s">
        <v>472</v>
      </c>
      <c r="B625" s="123" t="s">
        <v>470</v>
      </c>
      <c r="C625" s="200">
        <f>PSK_AT_verzia_4_0!C625-PSK_AT_verzia_3_5!C561</f>
        <v>0</v>
      </c>
      <c r="D625" s="200">
        <f>PSK_AT_verzia_4_0!D625-PSK_AT_verzia_3_5!D561</f>
        <v>0</v>
      </c>
      <c r="E625" s="200">
        <f>PSK_AT_verzia_4_0!E625-PSK_AT_verzia_3_5!E561</f>
        <v>0</v>
      </c>
      <c r="F625" s="126" t="s">
        <v>37</v>
      </c>
      <c r="G625" s="124">
        <f>PSK_AT_verzia_4_0!G625-PSK_AT_verzia_3_5!G561</f>
        <v>0</v>
      </c>
      <c r="H625" s="124">
        <f>PSK_AT_verzia_4_0!H625-PSK_AT_verzia_3_5!H561</f>
        <v>0</v>
      </c>
      <c r="I625" s="124">
        <f>PSK_AT_verzia_4_0!I625-PSK_AT_verzia_3_5!I561</f>
        <v>0</v>
      </c>
      <c r="J625" s="124">
        <f>PSK_AT_verzia_4_0!J625-PSK_AT_verzia_3_5!J561</f>
        <v>0</v>
      </c>
      <c r="K625" s="124">
        <f>PSK_AT_verzia_4_0!K625-PSK_AT_verzia_3_5!K561</f>
        <v>0</v>
      </c>
      <c r="L625" s="124">
        <f>PSK_AT_verzia_4_0!L625-PSK_AT_verzia_3_5!L561</f>
        <v>0</v>
      </c>
      <c r="M625" s="124">
        <f>PSK_AT_verzia_4_0!M625-PSK_AT_verzia_3_5!M561</f>
        <v>0</v>
      </c>
      <c r="N625" s="124">
        <f>PSK_AT_verzia_4_0!N625-PSK_AT_verzia_3_5!N561</f>
        <v>0</v>
      </c>
      <c r="O625" s="124">
        <f>PSK_AT_verzia_4_0!O625-PSK_AT_verzia_3_5!O561</f>
        <v>0</v>
      </c>
      <c r="P625" s="124">
        <f>PSK_AT_verzia_4_0!P625-PSK_AT_verzia_3_5!P561</f>
        <v>0</v>
      </c>
      <c r="Q625" s="124">
        <f>PSK_AT_verzia_4_0!Q625-PSK_AT_verzia_3_5!Q561</f>
        <v>0</v>
      </c>
    </row>
    <row r="626" spans="1:20" ht="28" customHeight="1" x14ac:dyDescent="0.35">
      <c r="A626" s="45" t="s">
        <v>473</v>
      </c>
      <c r="B626" s="46" t="s">
        <v>474</v>
      </c>
      <c r="C626" s="47">
        <f>PSK_AT_verzia_4_0!C626-PSK_AT_verzia_3_5!C562</f>
        <v>0</v>
      </c>
      <c r="D626" s="47">
        <f>PSK_AT_verzia_4_0!D626-PSK_AT_verzia_3_5!D562</f>
        <v>0</v>
      </c>
      <c r="E626" s="47">
        <f>PSK_AT_verzia_4_0!E626-PSK_AT_verzia_3_5!E562</f>
        <v>0</v>
      </c>
      <c r="F626" s="82" t="s">
        <v>466</v>
      </c>
      <c r="G626" s="48">
        <f>PSK_AT_verzia_4_0!G626-PSK_AT_verzia_3_5!G562</f>
        <v>1262135</v>
      </c>
      <c r="H626" s="48">
        <f>PSK_AT_verzia_4_0!H626-PSK_AT_verzia_3_5!H562</f>
        <v>1262135</v>
      </c>
      <c r="I626" s="48">
        <f>PSK_AT_verzia_4_0!I626-PSK_AT_verzia_3_5!I562</f>
        <v>0</v>
      </c>
      <c r="J626" s="48">
        <f>PSK_AT_verzia_4_0!J626-PSK_AT_verzia_3_5!J562</f>
        <v>0</v>
      </c>
      <c r="K626" s="48">
        <f>PSK_AT_verzia_4_0!K626-PSK_AT_verzia_3_5!K562</f>
        <v>0</v>
      </c>
      <c r="L626" s="48">
        <f>PSK_AT_verzia_4_0!L626-PSK_AT_verzia_3_5!L562</f>
        <v>0</v>
      </c>
      <c r="M626" s="48">
        <f>PSK_AT_verzia_4_0!M626-PSK_AT_verzia_3_5!M562</f>
        <v>0</v>
      </c>
      <c r="N626" s="48">
        <f>PSK_AT_verzia_4_0!N626-PSK_AT_verzia_3_5!N562</f>
        <v>1262135</v>
      </c>
      <c r="O626" s="48">
        <f>PSK_AT_verzia_4_0!O626-PSK_AT_verzia_3_5!O562</f>
        <v>1262135</v>
      </c>
      <c r="P626" s="48">
        <f>PSK_AT_verzia_4_0!P626-PSK_AT_verzia_3_5!P562</f>
        <v>0</v>
      </c>
      <c r="Q626" s="48">
        <f>PSK_AT_verzia_4_0!Q626-PSK_AT_verzia_3_5!Q562</f>
        <v>0</v>
      </c>
    </row>
    <row r="627" spans="1:20" ht="28" customHeight="1" x14ac:dyDescent="0.35">
      <c r="A627" s="87" t="s">
        <v>475</v>
      </c>
      <c r="B627" s="88" t="s">
        <v>474</v>
      </c>
      <c r="C627" s="52">
        <f>PSK_AT_verzia_4_0!C627-PSK_AT_verzia_3_5!C563</f>
        <v>0</v>
      </c>
      <c r="D627" s="52">
        <f>PSK_AT_verzia_4_0!D627-PSK_AT_verzia_3_5!D563</f>
        <v>0</v>
      </c>
      <c r="E627" s="52">
        <f>PSK_AT_verzia_4_0!E627-PSK_AT_verzia_3_5!E563</f>
        <v>0</v>
      </c>
      <c r="F627" s="54"/>
      <c r="G627" s="52">
        <f>PSK_AT_verzia_4_0!G627-PSK_AT_verzia_3_5!G563</f>
        <v>1262135</v>
      </c>
      <c r="H627" s="52">
        <f>PSK_AT_verzia_4_0!H627-PSK_AT_verzia_3_5!H563</f>
        <v>1262135</v>
      </c>
      <c r="I627" s="52">
        <f>PSK_AT_verzia_4_0!I627-PSK_AT_verzia_3_5!I563</f>
        <v>0</v>
      </c>
      <c r="J627" s="52">
        <f>PSK_AT_verzia_4_0!J627-PSK_AT_verzia_3_5!J563</f>
        <v>0</v>
      </c>
      <c r="K627" s="52">
        <f>PSK_AT_verzia_4_0!K627-PSK_AT_verzia_3_5!K563</f>
        <v>0</v>
      </c>
      <c r="L627" s="52">
        <f>PSK_AT_verzia_4_0!L627-PSK_AT_verzia_3_5!L563</f>
        <v>0</v>
      </c>
      <c r="M627" s="52">
        <f>PSK_AT_verzia_4_0!M627-PSK_AT_verzia_3_5!M563</f>
        <v>0</v>
      </c>
      <c r="N627" s="52">
        <f>PSK_AT_verzia_4_0!N627-PSK_AT_verzia_3_5!N563</f>
        <v>1262135</v>
      </c>
      <c r="O627" s="52">
        <f>PSK_AT_verzia_4_0!O627-PSK_AT_verzia_3_5!O563</f>
        <v>1262135</v>
      </c>
      <c r="P627" s="52">
        <f>PSK_AT_verzia_4_0!P627-PSK_AT_verzia_3_5!P563</f>
        <v>0</v>
      </c>
      <c r="Q627" s="52">
        <f>PSK_AT_verzia_4_0!Q627-PSK_AT_verzia_3_5!Q563</f>
        <v>0</v>
      </c>
    </row>
    <row r="628" spans="1:20" ht="28" customHeight="1" x14ac:dyDescent="0.35">
      <c r="A628" s="122" t="s">
        <v>476</v>
      </c>
      <c r="B628" s="123" t="s">
        <v>474</v>
      </c>
      <c r="C628" s="200">
        <f>PSK_AT_verzia_4_0!C628-PSK_AT_verzia_3_5!C564</f>
        <v>0</v>
      </c>
      <c r="D628" s="200">
        <f>PSK_AT_verzia_4_0!D628-PSK_AT_verzia_3_5!D564</f>
        <v>0</v>
      </c>
      <c r="E628" s="200">
        <f>PSK_AT_verzia_4_0!E628-PSK_AT_verzia_3_5!E564</f>
        <v>0</v>
      </c>
      <c r="F628" s="126" t="s">
        <v>37</v>
      </c>
      <c r="G628" s="124">
        <f>PSK_AT_verzia_4_0!G628-PSK_AT_verzia_3_5!G564</f>
        <v>1262135</v>
      </c>
      <c r="H628" s="124">
        <f>PSK_AT_verzia_4_0!H628-PSK_AT_verzia_3_5!H564</f>
        <v>1262135</v>
      </c>
      <c r="I628" s="124">
        <f>PSK_AT_verzia_4_0!I628-PSK_AT_verzia_3_5!I564</f>
        <v>0</v>
      </c>
      <c r="J628" s="124">
        <f>PSK_AT_verzia_4_0!J628-PSK_AT_verzia_3_5!J564</f>
        <v>0</v>
      </c>
      <c r="K628" s="124">
        <f>PSK_AT_verzia_4_0!K628-PSK_AT_verzia_3_5!K564</f>
        <v>0</v>
      </c>
      <c r="L628" s="124">
        <f>PSK_AT_verzia_4_0!L628-PSK_AT_verzia_3_5!L564</f>
        <v>0</v>
      </c>
      <c r="M628" s="124">
        <f>PSK_AT_verzia_4_0!M628-PSK_AT_verzia_3_5!M564</f>
        <v>0</v>
      </c>
      <c r="N628" s="124">
        <f>PSK_AT_verzia_4_0!N628-PSK_AT_verzia_3_5!N564</f>
        <v>1262135</v>
      </c>
      <c r="O628" s="124">
        <f>PSK_AT_verzia_4_0!O628-PSK_AT_verzia_3_5!O564</f>
        <v>1262135</v>
      </c>
      <c r="P628" s="124">
        <f>PSK_AT_verzia_4_0!P628-PSK_AT_verzia_3_5!P564</f>
        <v>0</v>
      </c>
      <c r="Q628" s="124">
        <f>PSK_AT_verzia_4_0!Q628-PSK_AT_verzia_3_5!Q564</f>
        <v>0</v>
      </c>
    </row>
    <row r="629" spans="1:20" ht="28" customHeight="1" x14ac:dyDescent="0.35">
      <c r="A629" s="45" t="s">
        <v>477</v>
      </c>
      <c r="B629" s="46" t="s">
        <v>478</v>
      </c>
      <c r="C629" s="47">
        <f>PSK_AT_verzia_4_0!C629-PSK_AT_verzia_3_5!C565</f>
        <v>0</v>
      </c>
      <c r="D629" s="47">
        <f>PSK_AT_verzia_4_0!D629-PSK_AT_verzia_3_5!D565</f>
        <v>0</v>
      </c>
      <c r="E629" s="47">
        <f>PSK_AT_verzia_4_0!E629-PSK_AT_verzia_3_5!E565</f>
        <v>0</v>
      </c>
      <c r="F629" s="82" t="s">
        <v>466</v>
      </c>
      <c r="G629" s="48">
        <f>PSK_AT_verzia_4_0!G629-PSK_AT_verzia_3_5!G565</f>
        <v>0</v>
      </c>
      <c r="H629" s="48">
        <f>PSK_AT_verzia_4_0!H629-PSK_AT_verzia_3_5!H565</f>
        <v>0</v>
      </c>
      <c r="I629" s="48">
        <f>PSK_AT_verzia_4_0!I629-PSK_AT_verzia_3_5!I565</f>
        <v>0</v>
      </c>
      <c r="J629" s="48">
        <f>PSK_AT_verzia_4_0!J629-PSK_AT_verzia_3_5!J565</f>
        <v>0</v>
      </c>
      <c r="K629" s="48">
        <f>PSK_AT_verzia_4_0!K629-PSK_AT_verzia_3_5!K565</f>
        <v>0</v>
      </c>
      <c r="L629" s="48">
        <f>PSK_AT_verzia_4_0!L629-PSK_AT_verzia_3_5!L565</f>
        <v>0</v>
      </c>
      <c r="M629" s="48">
        <f>PSK_AT_verzia_4_0!M629-PSK_AT_verzia_3_5!M565</f>
        <v>0</v>
      </c>
      <c r="N629" s="48">
        <f>PSK_AT_verzia_4_0!N629-PSK_AT_verzia_3_5!N565</f>
        <v>0</v>
      </c>
      <c r="O629" s="48">
        <f>PSK_AT_verzia_4_0!O629-PSK_AT_verzia_3_5!O565</f>
        <v>0</v>
      </c>
      <c r="P629" s="48">
        <f>PSK_AT_verzia_4_0!P629-PSK_AT_verzia_3_5!P565</f>
        <v>0</v>
      </c>
      <c r="Q629" s="48">
        <f>PSK_AT_verzia_4_0!Q629-PSK_AT_verzia_3_5!Q565</f>
        <v>0</v>
      </c>
    </row>
    <row r="630" spans="1:20" ht="28" customHeight="1" x14ac:dyDescent="0.35">
      <c r="A630" s="87" t="s">
        <v>479</v>
      </c>
      <c r="B630" s="88" t="s">
        <v>478</v>
      </c>
      <c r="C630" s="52">
        <f>PSK_AT_verzia_4_0!C630-PSK_AT_verzia_3_5!C566</f>
        <v>0</v>
      </c>
      <c r="D630" s="52">
        <f>PSK_AT_verzia_4_0!D630-PSK_AT_verzia_3_5!D566</f>
        <v>0</v>
      </c>
      <c r="E630" s="52">
        <f>PSK_AT_verzia_4_0!E630-PSK_AT_verzia_3_5!E566</f>
        <v>0</v>
      </c>
      <c r="F630" s="54"/>
      <c r="G630" s="52">
        <f>PSK_AT_verzia_4_0!G630-PSK_AT_verzia_3_5!G566</f>
        <v>0</v>
      </c>
      <c r="H630" s="52">
        <f>PSK_AT_verzia_4_0!H630-PSK_AT_verzia_3_5!H566</f>
        <v>0</v>
      </c>
      <c r="I630" s="52">
        <f>PSK_AT_verzia_4_0!I630-PSK_AT_verzia_3_5!I566</f>
        <v>0</v>
      </c>
      <c r="J630" s="52">
        <f>PSK_AT_verzia_4_0!J630-PSK_AT_verzia_3_5!J566</f>
        <v>0</v>
      </c>
      <c r="K630" s="52">
        <f>PSK_AT_verzia_4_0!K630-PSK_AT_verzia_3_5!K566</f>
        <v>0</v>
      </c>
      <c r="L630" s="52">
        <f>PSK_AT_verzia_4_0!L630-PSK_AT_verzia_3_5!L566</f>
        <v>0</v>
      </c>
      <c r="M630" s="52">
        <f>PSK_AT_verzia_4_0!M630-PSK_AT_verzia_3_5!M566</f>
        <v>0</v>
      </c>
      <c r="N630" s="52">
        <f>PSK_AT_verzia_4_0!N630-PSK_AT_verzia_3_5!N566</f>
        <v>0</v>
      </c>
      <c r="O630" s="52">
        <f>PSK_AT_verzia_4_0!O630-PSK_AT_verzia_3_5!O566</f>
        <v>0</v>
      </c>
      <c r="P630" s="52">
        <f>PSK_AT_verzia_4_0!P630-PSK_AT_verzia_3_5!P566</f>
        <v>0</v>
      </c>
      <c r="Q630" s="52">
        <f>PSK_AT_verzia_4_0!Q630-PSK_AT_verzia_3_5!Q566</f>
        <v>0</v>
      </c>
    </row>
    <row r="631" spans="1:20" ht="28" customHeight="1" x14ac:dyDescent="0.35">
      <c r="A631" s="122" t="s">
        <v>480</v>
      </c>
      <c r="B631" s="123" t="s">
        <v>478</v>
      </c>
      <c r="C631" s="200">
        <f>PSK_AT_verzia_4_0!C631-PSK_AT_verzia_3_5!C567</f>
        <v>0</v>
      </c>
      <c r="D631" s="200">
        <f>PSK_AT_verzia_4_0!D631-PSK_AT_verzia_3_5!D567</f>
        <v>0</v>
      </c>
      <c r="E631" s="200">
        <f>PSK_AT_verzia_4_0!E631-PSK_AT_verzia_3_5!E567</f>
        <v>0</v>
      </c>
      <c r="F631" s="126" t="s">
        <v>37</v>
      </c>
      <c r="G631" s="124">
        <f>PSK_AT_verzia_4_0!G631-PSK_AT_verzia_3_5!G567</f>
        <v>0</v>
      </c>
      <c r="H631" s="124">
        <f>PSK_AT_verzia_4_0!H631-PSK_AT_verzia_3_5!H567</f>
        <v>0</v>
      </c>
      <c r="I631" s="124">
        <f>PSK_AT_verzia_4_0!I631-PSK_AT_verzia_3_5!I567</f>
        <v>0</v>
      </c>
      <c r="J631" s="124">
        <f>PSK_AT_verzia_4_0!J631-PSK_AT_verzia_3_5!J567</f>
        <v>0</v>
      </c>
      <c r="K631" s="124">
        <f>PSK_AT_verzia_4_0!K631-PSK_AT_verzia_3_5!K567</f>
        <v>0</v>
      </c>
      <c r="L631" s="124">
        <f>PSK_AT_verzia_4_0!L631-PSK_AT_verzia_3_5!L567</f>
        <v>0</v>
      </c>
      <c r="M631" s="124">
        <f>PSK_AT_verzia_4_0!M631-PSK_AT_verzia_3_5!M567</f>
        <v>0</v>
      </c>
      <c r="N631" s="124">
        <f>PSK_AT_verzia_4_0!N631-PSK_AT_verzia_3_5!N567</f>
        <v>0</v>
      </c>
      <c r="O631" s="124">
        <f>PSK_AT_verzia_4_0!O631-PSK_AT_verzia_3_5!O567</f>
        <v>0</v>
      </c>
      <c r="P631" s="124">
        <f>PSK_AT_verzia_4_0!P631-PSK_AT_verzia_3_5!P567</f>
        <v>0</v>
      </c>
      <c r="Q631" s="124">
        <f>PSK_AT_verzia_4_0!Q631-PSK_AT_verzia_3_5!Q567</f>
        <v>0</v>
      </c>
      <c r="T631" s="55"/>
    </row>
    <row r="632" spans="1:20" s="76" customFormat="1" ht="30" customHeight="1" x14ac:dyDescent="0.35">
      <c r="A632" s="127" t="s">
        <v>481</v>
      </c>
      <c r="B632" s="128"/>
      <c r="C632" s="185"/>
      <c r="D632" s="185"/>
      <c r="E632" s="185"/>
      <c r="F632" s="130"/>
      <c r="G632" s="131"/>
      <c r="H632" s="131"/>
      <c r="I632" s="132"/>
      <c r="J632" s="132"/>
      <c r="K632" s="132"/>
      <c r="L632" s="132"/>
      <c r="M632" s="132"/>
      <c r="N632" s="132"/>
      <c r="O632" s="132"/>
      <c r="P632" s="132"/>
      <c r="Q632" s="132"/>
    </row>
    <row r="633" spans="1:20" ht="30" customHeight="1" x14ac:dyDescent="0.35">
      <c r="A633" s="133" t="s">
        <v>482</v>
      </c>
      <c r="B633" s="134"/>
      <c r="C633" s="186"/>
      <c r="D633" s="186"/>
      <c r="E633" s="186"/>
      <c r="F633" s="136"/>
      <c r="G633" s="137"/>
      <c r="H633" s="137"/>
      <c r="I633" s="137"/>
      <c r="J633" s="137"/>
      <c r="K633" s="137"/>
      <c r="L633" s="137"/>
      <c r="M633" s="137"/>
      <c r="N633" s="137"/>
      <c r="O633" s="137"/>
      <c r="P633" s="137"/>
      <c r="Q633" s="137"/>
    </row>
    <row r="634" spans="1:20" ht="30" customHeight="1" x14ac:dyDescent="0.35">
      <c r="A634" s="133" t="s">
        <v>483</v>
      </c>
      <c r="B634" s="134"/>
      <c r="C634" s="186"/>
      <c r="D634" s="186"/>
      <c r="E634" s="186"/>
      <c r="F634" s="136"/>
      <c r="G634" s="137"/>
      <c r="H634" s="137"/>
      <c r="I634" s="137"/>
      <c r="J634" s="137"/>
      <c r="K634" s="137"/>
      <c r="L634" s="137"/>
      <c r="M634" s="137"/>
      <c r="N634" s="137"/>
      <c r="O634" s="137"/>
      <c r="P634" s="137"/>
      <c r="Q634" s="137"/>
    </row>
    <row r="635" spans="1:20" ht="30" customHeight="1" x14ac:dyDescent="0.35">
      <c r="A635" s="133" t="s">
        <v>484</v>
      </c>
      <c r="B635" s="134"/>
      <c r="D635" s="186"/>
      <c r="E635" s="186"/>
      <c r="F635" s="136"/>
      <c r="G635" s="137"/>
      <c r="H635" s="137"/>
      <c r="I635" s="137"/>
      <c r="J635" s="137"/>
      <c r="K635" s="137"/>
      <c r="L635" s="137"/>
      <c r="M635" s="137"/>
      <c r="N635" s="137"/>
      <c r="O635" s="137"/>
      <c r="P635" s="137"/>
      <c r="Q635" s="137"/>
    </row>
    <row r="636" spans="1:20" ht="30" customHeight="1" x14ac:dyDescent="0.35">
      <c r="A636" s="133" t="s">
        <v>485</v>
      </c>
      <c r="B636" s="134"/>
      <c r="C636" s="186"/>
      <c r="D636" s="186"/>
      <c r="E636" s="186"/>
      <c r="F636" s="136"/>
      <c r="G636" s="137"/>
      <c r="H636" s="137"/>
      <c r="I636" s="137"/>
      <c r="J636" s="137"/>
      <c r="K636" s="137"/>
      <c r="L636" s="137"/>
      <c r="M636" s="137"/>
      <c r="N636" s="137"/>
      <c r="O636" s="137"/>
      <c r="P636" s="137"/>
      <c r="Q636" s="137"/>
    </row>
  </sheetData>
  <mergeCells count="265">
    <mergeCell ref="A10:B10"/>
    <mergeCell ref="A19:A28"/>
    <mergeCell ref="B19:B28"/>
    <mergeCell ref="A616:A618"/>
    <mergeCell ref="B616:B618"/>
    <mergeCell ref="A317:A322"/>
    <mergeCell ref="B317:B322"/>
    <mergeCell ref="A364:A368"/>
    <mergeCell ref="B364:B368"/>
    <mergeCell ref="A493:A498"/>
    <mergeCell ref="B493:B498"/>
    <mergeCell ref="A500:A502"/>
    <mergeCell ref="B500:B502"/>
    <mergeCell ref="A342:A344"/>
    <mergeCell ref="B342:B344"/>
    <mergeCell ref="A345:A348"/>
    <mergeCell ref="B345:B348"/>
    <mergeCell ref="A349:A355"/>
    <mergeCell ref="B349:B355"/>
    <mergeCell ref="A333:A336"/>
    <mergeCell ref="A15:B15"/>
    <mergeCell ref="A14:B14"/>
    <mergeCell ref="A13:B13"/>
    <mergeCell ref="A12:B12"/>
    <mergeCell ref="A2:Q2"/>
    <mergeCell ref="A3:B3"/>
    <mergeCell ref="C3:C5"/>
    <mergeCell ref="D3:D5"/>
    <mergeCell ref="E3:E5"/>
    <mergeCell ref="F3:F5"/>
    <mergeCell ref="G3:Q3"/>
    <mergeCell ref="A4:B5"/>
    <mergeCell ref="G4:I4"/>
    <mergeCell ref="J4:L4"/>
    <mergeCell ref="M4:M5"/>
    <mergeCell ref="N4:P4"/>
    <mergeCell ref="Q4:Q5"/>
    <mergeCell ref="A11:B11"/>
    <mergeCell ref="A60:A62"/>
    <mergeCell ref="B60:B62"/>
    <mergeCell ref="A63:A65"/>
    <mergeCell ref="B333:B336"/>
    <mergeCell ref="A29:A33"/>
    <mergeCell ref="B29:B33"/>
    <mergeCell ref="A34:A40"/>
    <mergeCell ref="B34:B40"/>
    <mergeCell ref="A41:A45"/>
    <mergeCell ref="B41:B45"/>
    <mergeCell ref="A111:A119"/>
    <mergeCell ref="B111:B119"/>
    <mergeCell ref="A330:A332"/>
    <mergeCell ref="B330:B332"/>
    <mergeCell ref="A120:A122"/>
    <mergeCell ref="B120:B122"/>
    <mergeCell ref="A67:A73"/>
    <mergeCell ref="B67:B73"/>
    <mergeCell ref="A47:A49"/>
    <mergeCell ref="B47:B49"/>
    <mergeCell ref="A50:A54"/>
    <mergeCell ref="A127:A130"/>
    <mergeCell ref="B127:B130"/>
    <mergeCell ref="A131:A135"/>
    <mergeCell ref="B131:B135"/>
    <mergeCell ref="A136:A138"/>
    <mergeCell ref="B136:B138"/>
    <mergeCell ref="B50:B54"/>
    <mergeCell ref="A56:A59"/>
    <mergeCell ref="B56:B59"/>
    <mergeCell ref="A107:A110"/>
    <mergeCell ref="B107:B110"/>
    <mergeCell ref="A74:A76"/>
    <mergeCell ref="B74:B76"/>
    <mergeCell ref="A79:A81"/>
    <mergeCell ref="B79:B81"/>
    <mergeCell ref="A83:A91"/>
    <mergeCell ref="B83:B91"/>
    <mergeCell ref="A93:A99"/>
    <mergeCell ref="B93:B99"/>
    <mergeCell ref="A101:A103"/>
    <mergeCell ref="B101:B103"/>
    <mergeCell ref="B63:B65"/>
    <mergeCell ref="A123:A125"/>
    <mergeCell ref="B123:B125"/>
    <mergeCell ref="A153:A155"/>
    <mergeCell ref="B153:B155"/>
    <mergeCell ref="A156:A158"/>
    <mergeCell ref="B156:B158"/>
    <mergeCell ref="A159:A161"/>
    <mergeCell ref="B159:B161"/>
    <mergeCell ref="A139:A141"/>
    <mergeCell ref="B139:B141"/>
    <mergeCell ref="A143:A145"/>
    <mergeCell ref="B143:B145"/>
    <mergeCell ref="A148:A152"/>
    <mergeCell ref="B148:B152"/>
    <mergeCell ref="A171:A173"/>
    <mergeCell ref="B171:B173"/>
    <mergeCell ref="A174:A176"/>
    <mergeCell ref="B174:B176"/>
    <mergeCell ref="A178:A182"/>
    <mergeCell ref="B178:B182"/>
    <mergeCell ref="A162:A164"/>
    <mergeCell ref="B162:B164"/>
    <mergeCell ref="A165:A167"/>
    <mergeCell ref="B165:B167"/>
    <mergeCell ref="A168:A170"/>
    <mergeCell ref="B168:B170"/>
    <mergeCell ref="A202:A208"/>
    <mergeCell ref="B202:B208"/>
    <mergeCell ref="A209:A211"/>
    <mergeCell ref="B209:B211"/>
    <mergeCell ref="A212:A216"/>
    <mergeCell ref="B212:B216"/>
    <mergeCell ref="A183:A187"/>
    <mergeCell ref="B183:B187"/>
    <mergeCell ref="A188:A194"/>
    <mergeCell ref="B188:B194"/>
    <mergeCell ref="A195:A201"/>
    <mergeCell ref="B195:B201"/>
    <mergeCell ref="A229:A235"/>
    <mergeCell ref="B229:B235"/>
    <mergeCell ref="A236:A242"/>
    <mergeCell ref="B236:B242"/>
    <mergeCell ref="A243:A250"/>
    <mergeCell ref="B243:B250"/>
    <mergeCell ref="A217:A221"/>
    <mergeCell ref="B217:B221"/>
    <mergeCell ref="A222:A224"/>
    <mergeCell ref="B222:B224"/>
    <mergeCell ref="A225:A227"/>
    <mergeCell ref="B225:B227"/>
    <mergeCell ref="A261:A263"/>
    <mergeCell ref="B261:B263"/>
    <mergeCell ref="A264:A268"/>
    <mergeCell ref="B264:B268"/>
    <mergeCell ref="A269:A273"/>
    <mergeCell ref="B269:B273"/>
    <mergeCell ref="A251:A253"/>
    <mergeCell ref="B251:B253"/>
    <mergeCell ref="A254:A256"/>
    <mergeCell ref="B254:B256"/>
    <mergeCell ref="A258:A260"/>
    <mergeCell ref="B258:B260"/>
    <mergeCell ref="A283:A285"/>
    <mergeCell ref="B283:B285"/>
    <mergeCell ref="A286:A288"/>
    <mergeCell ref="B286:B288"/>
    <mergeCell ref="A289:A291"/>
    <mergeCell ref="B289:B291"/>
    <mergeCell ref="A310:A315"/>
    <mergeCell ref="B310:B315"/>
    <mergeCell ref="A274:A276"/>
    <mergeCell ref="B274:B276"/>
    <mergeCell ref="A277:A279"/>
    <mergeCell ref="B277:B279"/>
    <mergeCell ref="A280:A282"/>
    <mergeCell ref="B280:B282"/>
    <mergeCell ref="A356:A362"/>
    <mergeCell ref="B356:B362"/>
    <mergeCell ref="A371:A374"/>
    <mergeCell ref="B371:B374"/>
    <mergeCell ref="A375:A377"/>
    <mergeCell ref="B375:B377"/>
    <mergeCell ref="A378:A380"/>
    <mergeCell ref="B378:B380"/>
    <mergeCell ref="A294:A298"/>
    <mergeCell ref="B294:B298"/>
    <mergeCell ref="A299:A303"/>
    <mergeCell ref="B299:B303"/>
    <mergeCell ref="A304:A308"/>
    <mergeCell ref="B304:B308"/>
    <mergeCell ref="A324:A326"/>
    <mergeCell ref="B324:B326"/>
    <mergeCell ref="A337:A340"/>
    <mergeCell ref="B337:B340"/>
    <mergeCell ref="A391:A393"/>
    <mergeCell ref="B391:B393"/>
    <mergeCell ref="A394:A397"/>
    <mergeCell ref="B394:B397"/>
    <mergeCell ref="A398:A406"/>
    <mergeCell ref="B398:B406"/>
    <mergeCell ref="A381:A383"/>
    <mergeCell ref="B381:B383"/>
    <mergeCell ref="A384:A389"/>
    <mergeCell ref="B384:B389"/>
    <mergeCell ref="A419:A422"/>
    <mergeCell ref="B419:B422"/>
    <mergeCell ref="A423:A426"/>
    <mergeCell ref="B423:B426"/>
    <mergeCell ref="A427:A430"/>
    <mergeCell ref="B427:B430"/>
    <mergeCell ref="A408:A410"/>
    <mergeCell ref="B408:B410"/>
    <mergeCell ref="A411:A414"/>
    <mergeCell ref="B411:B414"/>
    <mergeCell ref="A415:A417"/>
    <mergeCell ref="B415:B417"/>
    <mergeCell ref="A445:A448"/>
    <mergeCell ref="B445:B448"/>
    <mergeCell ref="A449:A456"/>
    <mergeCell ref="B449:B456"/>
    <mergeCell ref="A457:A465"/>
    <mergeCell ref="B457:B465"/>
    <mergeCell ref="A432:A435"/>
    <mergeCell ref="B432:B435"/>
    <mergeCell ref="A436:A438"/>
    <mergeCell ref="B436:B438"/>
    <mergeCell ref="A439:A444"/>
    <mergeCell ref="B439:B444"/>
    <mergeCell ref="A479:A481"/>
    <mergeCell ref="B479:B481"/>
    <mergeCell ref="A482:A484"/>
    <mergeCell ref="B482:B484"/>
    <mergeCell ref="A485:A487"/>
    <mergeCell ref="B485:B487"/>
    <mergeCell ref="A466:A468"/>
    <mergeCell ref="B466:B468"/>
    <mergeCell ref="A470:A473"/>
    <mergeCell ref="B470:B473"/>
    <mergeCell ref="A474:A477"/>
    <mergeCell ref="B474:B477"/>
    <mergeCell ref="A516:A520"/>
    <mergeCell ref="B516:B520"/>
    <mergeCell ref="A521:A525"/>
    <mergeCell ref="B521:B525"/>
    <mergeCell ref="A526:A530"/>
    <mergeCell ref="B526:B530"/>
    <mergeCell ref="A489:A491"/>
    <mergeCell ref="B489:B491"/>
    <mergeCell ref="A506:A510"/>
    <mergeCell ref="B506:B510"/>
    <mergeCell ref="A511:A515"/>
    <mergeCell ref="B511:B515"/>
    <mergeCell ref="A607:A611"/>
    <mergeCell ref="B607:B611"/>
    <mergeCell ref="A612:A614"/>
    <mergeCell ref="B612:B614"/>
    <mergeCell ref="A591:A598"/>
    <mergeCell ref="B591:B598"/>
    <mergeCell ref="A599:A603"/>
    <mergeCell ref="B599:B603"/>
    <mergeCell ref="A604:A606"/>
    <mergeCell ref="B604:B606"/>
    <mergeCell ref="A588:A590"/>
    <mergeCell ref="B588:B590"/>
    <mergeCell ref="A547:A551"/>
    <mergeCell ref="B547:B551"/>
    <mergeCell ref="A552:A556"/>
    <mergeCell ref="B552:B556"/>
    <mergeCell ref="A557:A561"/>
    <mergeCell ref="B557:B561"/>
    <mergeCell ref="A563:A566"/>
    <mergeCell ref="B563:B566"/>
    <mergeCell ref="A568:A571"/>
    <mergeCell ref="B568:B571"/>
    <mergeCell ref="A531:A535"/>
    <mergeCell ref="B531:B535"/>
    <mergeCell ref="A537:A541"/>
    <mergeCell ref="B537:B541"/>
    <mergeCell ref="A542:A546"/>
    <mergeCell ref="B542:B546"/>
    <mergeCell ref="A575:A582"/>
    <mergeCell ref="B575:B582"/>
    <mergeCell ref="A583:A587"/>
    <mergeCell ref="B583:B587"/>
  </mergeCells>
  <pageMargins left="0.23622047244094491" right="0.23622047244094491" top="0.74803149606299213" bottom="0.74803149606299213" header="0.31496062992125984" footer="0.31496062992125984"/>
  <pageSetup paperSize="8" scale="32" fitToHeight="0" orientation="landscape" r:id="rId1"/>
  <headerFooter>
    <oddFooter>&amp;C&amp;"Aptos Narrow,Normálne"&amp;8&amp;P/&amp;N</oddFooter>
  </headerFooter>
  <rowBreaks count="10" manualBreakCount="10">
    <brk id="65" max="16383" man="1"/>
    <brk id="125" max="16383" man="1"/>
    <brk id="187" max="16383" man="1"/>
    <brk id="256" max="16383" man="1"/>
    <brk id="322" max="16383" man="1"/>
    <brk id="380" max="16383" man="1"/>
    <brk id="417" max="16383" man="1"/>
    <brk id="468" max="16383" man="1"/>
    <brk id="515" max="16383" man="1"/>
    <brk id="57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57B0-378B-414D-A979-8D3ED8D739E3}">
  <sheetPr>
    <tabColor rgb="FF00B0F0"/>
    <outlinePr summaryBelow="0" summaryRight="0"/>
    <pageSetUpPr fitToPage="1"/>
  </sheetPr>
  <dimension ref="A1:AS826"/>
  <sheetViews>
    <sheetView view="pageBreakPreview" topLeftCell="A2" zoomScale="50" zoomScaleNormal="40" zoomScaleSheetLayoutView="50" workbookViewId="0">
      <selection activeCell="A3" sqref="A3:B3"/>
    </sheetView>
  </sheetViews>
  <sheetFormatPr defaultColWidth="10.1796875" defaultRowHeight="30" customHeight="1" x14ac:dyDescent="0.35"/>
  <cols>
    <col min="1" max="1" width="16.26953125" style="181" customWidth="1"/>
    <col min="2" max="2" width="98" style="1" customWidth="1"/>
    <col min="3" max="5" width="34.81640625" style="76" customWidth="1"/>
    <col min="6" max="6" width="35" style="182" customWidth="1"/>
    <col min="7" max="14" width="34.81640625" style="183" customWidth="1"/>
    <col min="15" max="17" width="35.1796875" style="183" customWidth="1"/>
    <col min="18" max="19" width="10.1796875" style="1"/>
    <col min="20" max="21" width="11.81640625" style="1" bestFit="1" customWidth="1"/>
    <col min="22" max="23" width="10.1796875" style="1"/>
    <col min="24" max="24" width="11" style="1" bestFit="1" customWidth="1"/>
    <col min="25" max="16384" width="10.1796875" style="1"/>
  </cols>
  <sheetData>
    <row r="1" spans="1:45" ht="30" hidden="1" customHeight="1" x14ac:dyDescent="0.35">
      <c r="A1" s="1"/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45" ht="78" customHeight="1" x14ac:dyDescent="0.35">
      <c r="A2" s="274" t="s">
        <v>750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45" s="5" customFormat="1" ht="127" customHeight="1" x14ac:dyDescent="0.35">
      <c r="A3" s="275" t="s">
        <v>0</v>
      </c>
      <c r="B3" s="275"/>
      <c r="C3" s="271" t="s">
        <v>1</v>
      </c>
      <c r="D3" s="271" t="s">
        <v>2</v>
      </c>
      <c r="E3" s="271" t="s">
        <v>3</v>
      </c>
      <c r="F3" s="271" t="s">
        <v>4</v>
      </c>
      <c r="G3" s="276" t="s">
        <v>5</v>
      </c>
      <c r="H3" s="276"/>
      <c r="I3" s="276"/>
      <c r="J3" s="276"/>
      <c r="K3" s="276"/>
      <c r="L3" s="276"/>
      <c r="M3" s="276"/>
      <c r="N3" s="276"/>
      <c r="O3" s="276"/>
      <c r="P3" s="276"/>
      <c r="Q3" s="276"/>
    </row>
    <row r="4" spans="1:45" s="5" customFormat="1" ht="34.5" x14ac:dyDescent="0.35">
      <c r="A4" s="271" t="s">
        <v>6</v>
      </c>
      <c r="B4" s="271"/>
      <c r="C4" s="271"/>
      <c r="D4" s="271"/>
      <c r="E4" s="271"/>
      <c r="F4" s="271"/>
      <c r="G4" s="271" t="s">
        <v>7</v>
      </c>
      <c r="H4" s="271"/>
      <c r="I4" s="271"/>
      <c r="J4" s="271" t="s">
        <v>8</v>
      </c>
      <c r="K4" s="271"/>
      <c r="L4" s="271"/>
      <c r="M4" s="271" t="s">
        <v>9</v>
      </c>
      <c r="N4" s="271" t="s">
        <v>10</v>
      </c>
      <c r="O4" s="271"/>
      <c r="P4" s="271"/>
      <c r="Q4" s="272" t="s">
        <v>11</v>
      </c>
    </row>
    <row r="5" spans="1:45" ht="34.5" x14ac:dyDescent="0.35">
      <c r="A5" s="271"/>
      <c r="B5" s="271"/>
      <c r="C5" s="271"/>
      <c r="D5" s="271"/>
      <c r="E5" s="271"/>
      <c r="F5" s="271"/>
      <c r="G5" s="6" t="s">
        <v>12</v>
      </c>
      <c r="H5" s="6" t="s">
        <v>13</v>
      </c>
      <c r="I5" s="6" t="s">
        <v>14</v>
      </c>
      <c r="J5" s="7" t="s">
        <v>12</v>
      </c>
      <c r="K5" s="6" t="s">
        <v>13</v>
      </c>
      <c r="L5" s="6" t="s">
        <v>14</v>
      </c>
      <c r="M5" s="271"/>
      <c r="N5" s="6" t="s">
        <v>12</v>
      </c>
      <c r="O5" s="6" t="s">
        <v>13</v>
      </c>
      <c r="P5" s="6" t="s">
        <v>14</v>
      </c>
      <c r="Q5" s="272"/>
    </row>
    <row r="6" spans="1:45" s="12" customFormat="1" ht="30" customHeight="1" x14ac:dyDescent="0.35">
      <c r="A6" s="8" t="s">
        <v>15</v>
      </c>
      <c r="B6" s="8"/>
      <c r="C6" s="9"/>
      <c r="D6" s="10"/>
      <c r="E6" s="10"/>
      <c r="F6" s="11"/>
      <c r="G6" s="10">
        <f>G7+G8</f>
        <v>12593734933</v>
      </c>
      <c r="H6" s="10">
        <f t="shared" ref="H6:M6" si="0">H7+H8</f>
        <v>9118430832</v>
      </c>
      <c r="I6" s="10">
        <f t="shared" si="0"/>
        <v>543476516</v>
      </c>
      <c r="J6" s="10">
        <f t="shared" si="0"/>
        <v>7305609029</v>
      </c>
      <c r="K6" s="10">
        <f t="shared" si="0"/>
        <v>6812132513</v>
      </c>
      <c r="L6" s="10">
        <f>[7]PSK_Verzia_6_0_Tem_koncentracia!AD30</f>
        <v>493476516</v>
      </c>
      <c r="M6" s="10">
        <f t="shared" si="0"/>
        <v>2472808584</v>
      </c>
      <c r="N6" s="10">
        <f>N7+N8</f>
        <v>2356298319</v>
      </c>
      <c r="O6" s="10">
        <f>O7+O8</f>
        <v>2306298319</v>
      </c>
      <c r="P6" s="10">
        <f>[7]PSK_Verzia_6_0_Tem_koncentracia!AD33</f>
        <v>50000000</v>
      </c>
      <c r="Q6" s="10">
        <f>Q7+Q8</f>
        <v>459019001</v>
      </c>
    </row>
    <row r="7" spans="1:45" s="5" customFormat="1" ht="30" customHeight="1" x14ac:dyDescent="0.35">
      <c r="A7" s="13" t="s">
        <v>16</v>
      </c>
      <c r="B7" s="13"/>
      <c r="C7" s="14"/>
      <c r="D7" s="15"/>
      <c r="E7" s="16"/>
      <c r="F7" s="17"/>
      <c r="G7" s="18">
        <f>H7+M7+Q7</f>
        <v>410233301</v>
      </c>
      <c r="H7" s="19">
        <f>K7+O7</f>
        <v>340240298</v>
      </c>
      <c r="I7" s="19">
        <f>L7+P7</f>
        <v>0</v>
      </c>
      <c r="J7" s="18">
        <f>K7+L7</f>
        <v>255696315</v>
      </c>
      <c r="K7" s="19">
        <f>K555</f>
        <v>255696315</v>
      </c>
      <c r="L7" s="19">
        <f>L555</f>
        <v>0</v>
      </c>
      <c r="M7" s="18">
        <f>M555</f>
        <v>51632244</v>
      </c>
      <c r="N7" s="18">
        <f>O7+P7</f>
        <v>84543983</v>
      </c>
      <c r="O7" s="19">
        <f>O555</f>
        <v>84543983</v>
      </c>
      <c r="P7" s="19">
        <f>P555</f>
        <v>0</v>
      </c>
      <c r="Q7" s="18">
        <f>Q555</f>
        <v>18360759</v>
      </c>
    </row>
    <row r="8" spans="1:45" s="12" customFormat="1" ht="30" customHeight="1" x14ac:dyDescent="0.35">
      <c r="A8" s="8" t="s">
        <v>17</v>
      </c>
      <c r="B8" s="8"/>
      <c r="C8" s="20">
        <f>C16+C92+C294+C330+C453</f>
        <v>2411096481</v>
      </c>
      <c r="D8" s="20">
        <f>D16+D92+D294+D330+D453</f>
        <v>906999800</v>
      </c>
      <c r="E8" s="20">
        <f>E16+E92+E294+E330+E453+E512</f>
        <v>881090600</v>
      </c>
      <c r="F8" s="11"/>
      <c r="G8" s="10">
        <f>G16+G92+G294+G330+G453+G512</f>
        <v>12183501632</v>
      </c>
      <c r="H8" s="10">
        <f>H16+H92+H294+H330+H453</f>
        <v>8778190534</v>
      </c>
      <c r="I8" s="10">
        <f t="shared" ref="I8:Q8" si="1">I16+I92+I294+I330+I453+I512</f>
        <v>543476516</v>
      </c>
      <c r="J8" s="10">
        <f t="shared" si="1"/>
        <v>7049912714</v>
      </c>
      <c r="K8" s="10">
        <f t="shared" si="1"/>
        <v>6556436198</v>
      </c>
      <c r="L8" s="10">
        <f t="shared" si="1"/>
        <v>493476516</v>
      </c>
      <c r="M8" s="10">
        <f t="shared" si="1"/>
        <v>2421176340</v>
      </c>
      <c r="N8" s="10">
        <f t="shared" si="1"/>
        <v>2271754336</v>
      </c>
      <c r="O8" s="10">
        <f t="shared" si="1"/>
        <v>2221754336</v>
      </c>
      <c r="P8" s="10">
        <f t="shared" si="1"/>
        <v>50000000</v>
      </c>
      <c r="Q8" s="10">
        <f t="shared" si="1"/>
        <v>440658242</v>
      </c>
    </row>
    <row r="9" spans="1:45" s="28" customFormat="1" ht="30" hidden="1" customHeight="1" x14ac:dyDescent="0.35">
      <c r="A9" s="21" t="s">
        <v>18</v>
      </c>
      <c r="B9" s="21"/>
      <c r="C9" s="22"/>
      <c r="D9" s="23"/>
      <c r="E9" s="24"/>
      <c r="F9" s="25"/>
      <c r="G9" s="26" t="e">
        <f>H9+I9+M9+Q9</f>
        <v>#REF!</v>
      </c>
      <c r="H9" s="27" t="e">
        <f>K9+O9</f>
        <v>#REF!</v>
      </c>
      <c r="I9" s="27" t="e">
        <f>L9+P9</f>
        <v>#REF!</v>
      </c>
      <c r="J9" s="26" t="e">
        <f>K9+L9</f>
        <v>#REF!</v>
      </c>
      <c r="K9" s="27" t="e">
        <f>K19+K29+K34+K41+K47+K50+K56+K60+K63+K67+K74+K79+K95+K99+K108+K112+K116+K121+K124+K128+K133+K254+K400+K138+K141+K144+K147+K150+K153+K156+K159+K163+K168+K173+K180+K187+K194+K197+K202+K207+K210+K214+K221+K228+K236+K239+K243+K246+K249+K259+K262+K265+K268+K271+K274+K279+K284+K289+K300+K297+K304+K312+K316+K323+K309+K332+K336+K339+K342+K345+K352+K355+K359+K369+K372+K376+K380+K384+K388+K393+K397+K400+K406+K410+K418+K427+K431+K435+K450+K440+K443+K446+K456+K461+K466+K471+#REF!+#REF!+K481+K487+K492+K497+K502+#REF!+#REF!</f>
        <v>#REF!</v>
      </c>
      <c r="L9" s="27" t="e">
        <f>L19+L29+L34+L41+L47+L50+L57+L60+L63+L67+L74+L79+L95+L99+L105+L108+L112+L116+L121+L124+L128+L133+L254+L400+L138+L141+L144+L147+L150+L153+L156+L159+L163+L168+L173+L180+L187+L194+L197+L202+L207+L210+L214+L221+L228+L236+L239+L243+L246+L249+L259+L262+L265+L268+L271+L274+L279+L284+L289+L300+L297+L304+L312+L316+L323+L309+L332+L336+L339+L342+L345+L352+L355+L359+L369+L372+L376+L380+L384+L388+L393+L397+L400+L406+L410+L418+L427+L431+L435+L450+L440+L443+L446+L456+L461+L466+L471+#REF!+#REF!+L481+L487+L492+L497+L502+#REF!+#REF!</f>
        <v>#REF!</v>
      </c>
      <c r="M9" s="26">
        <f>M95+M99+M108+M112+M116+M121+M124+M128+M133+M254+M138+M141+M144+M147+M150+M153+M156+M159+M163+M168+M173+M180+M187+M194+M197+M202+M207+M210+M214+M221+M228+M236+M239+M243+M246+M249+M259+M262+M265+M268+M271+M274+M279+M284+M297+M289+M300+M304+M309+M312+M316+M323</f>
        <v>2421176340</v>
      </c>
      <c r="N9" s="26">
        <f>O9+P9</f>
        <v>2271754336</v>
      </c>
      <c r="O9" s="27">
        <f>O333+O337+O340+O343+O346+O353+O356+O359+O370+O373+O377+O381+O385+O389+O394+O398+O400+O407+O411+O418+O432+O436+O451+O441+O444+O447</f>
        <v>2221754336</v>
      </c>
      <c r="P9" s="27">
        <f>P333+P337+P340+P343+P346+P353+P356+P359+P370+P373+P377+P381+P385+P389+P394+P398+P400+P407+P411+P418+P432+P436+P451+P441+P444+P447</f>
        <v>50000000</v>
      </c>
      <c r="Q9" s="26">
        <f>Q515+Q523+Q528+Q531+Q539+Q544+Q547+Q552</f>
        <v>440658242</v>
      </c>
    </row>
    <row r="10" spans="1:45" s="28" customFormat="1" ht="30" hidden="1" customHeight="1" x14ac:dyDescent="0.35">
      <c r="A10" s="273"/>
      <c r="B10" s="273"/>
      <c r="C10" s="22"/>
      <c r="D10" s="23"/>
      <c r="E10" s="24"/>
      <c r="F10" s="25"/>
      <c r="G10" s="26">
        <f>H10+I10+M10+Q10</f>
        <v>12183501632</v>
      </c>
      <c r="H10" s="27">
        <f>K10+O10</f>
        <v>8778190534</v>
      </c>
      <c r="I10" s="27">
        <f>L10+P10</f>
        <v>543476516</v>
      </c>
      <c r="J10" s="26">
        <f>[7]PSK_Verzia_6_0_Tem_koncentracia!AC31</f>
        <v>7049912714</v>
      </c>
      <c r="K10" s="27">
        <f>[7]PSK_Verzia_6_0_Tem_koncentracia!AC29</f>
        <v>6556436198</v>
      </c>
      <c r="L10" s="27">
        <f>[7]PSK_Verzia_6_0_Tem_koncentracia!AC30</f>
        <v>493476516</v>
      </c>
      <c r="M10" s="26">
        <f>[7]PSK_Verzia_6_0_Tem_koncentracia!AC35</f>
        <v>2421176340</v>
      </c>
      <c r="N10" s="26">
        <f>[7]PSK_Verzia_6_0_Tem_koncentracia!AC34</f>
        <v>2271754336</v>
      </c>
      <c r="O10" s="27">
        <f>[7]PSK_Verzia_6_0_Tem_koncentracia!AC32</f>
        <v>2221754336</v>
      </c>
      <c r="P10" s="27">
        <f>[7]PSK_Verzia_6_0_Tem_koncentracia!AC33</f>
        <v>50000000</v>
      </c>
      <c r="Q10" s="26">
        <f>[7]PSK_Verzia_6_0_Tem_koncentracia!AC38</f>
        <v>440658242</v>
      </c>
    </row>
    <row r="11" spans="1:45" s="34" customFormat="1" ht="30" customHeight="1" x14ac:dyDescent="0.35">
      <c r="A11" s="13" t="s">
        <v>19</v>
      </c>
      <c r="B11" s="21"/>
      <c r="C11" s="29">
        <f>G11/G6</f>
        <v>0.19145205880759664</v>
      </c>
      <c r="D11" s="30"/>
      <c r="E11" s="31"/>
      <c r="F11" s="32"/>
      <c r="G11" s="18">
        <f t="shared" ref="G11:Q11" si="2">G12+G13</f>
        <v>2411096481</v>
      </c>
      <c r="H11" s="33">
        <f t="shared" si="2"/>
        <v>2002298590</v>
      </c>
      <c r="I11" s="33">
        <f t="shared" si="2"/>
        <v>108697891</v>
      </c>
      <c r="J11" s="18">
        <f t="shared" si="2"/>
        <v>2110996481</v>
      </c>
      <c r="K11" s="19">
        <f t="shared" si="2"/>
        <v>2002298590</v>
      </c>
      <c r="L11" s="19">
        <f t="shared" si="2"/>
        <v>108697891</v>
      </c>
      <c r="M11" s="18">
        <f t="shared" si="2"/>
        <v>300100000</v>
      </c>
      <c r="N11" s="18">
        <f t="shared" si="2"/>
        <v>0</v>
      </c>
      <c r="O11" s="19">
        <f t="shared" si="2"/>
        <v>0</v>
      </c>
      <c r="P11" s="19">
        <f t="shared" si="2"/>
        <v>0</v>
      </c>
      <c r="Q11" s="18">
        <f t="shared" si="2"/>
        <v>0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</row>
    <row r="12" spans="1:45" s="34" customFormat="1" ht="30" customHeight="1" x14ac:dyDescent="0.35">
      <c r="A12" s="13" t="s">
        <v>20</v>
      </c>
      <c r="B12" s="21"/>
      <c r="C12" s="36">
        <f>J12/J8</f>
        <v>0.10849260423907144</v>
      </c>
      <c r="D12" s="37"/>
      <c r="E12" s="38"/>
      <c r="F12" s="17"/>
      <c r="G12" s="18">
        <f>H12+I12+M12+Q12</f>
        <v>993754390</v>
      </c>
      <c r="H12" s="33">
        <f t="shared" ref="H12:Q12" si="3">H25+H54+H73+H103+H120+H137+H258+H172+H177+H184+H191+H201+H206+H218+H225+H232+H253+H283+H288+H293+H320+H327+H349+H363+H415+H422+H426+H460+H465+H470+H475+H480+H485+H491+H496+H501+H506+H511</f>
        <v>737289728</v>
      </c>
      <c r="I12" s="33">
        <f t="shared" si="3"/>
        <v>27573662</v>
      </c>
      <c r="J12" s="18">
        <f t="shared" si="3"/>
        <v>764863390</v>
      </c>
      <c r="K12" s="33">
        <f t="shared" si="3"/>
        <v>737289728</v>
      </c>
      <c r="L12" s="33">
        <f t="shared" si="3"/>
        <v>27573662</v>
      </c>
      <c r="M12" s="18">
        <f t="shared" si="3"/>
        <v>228891000</v>
      </c>
      <c r="N12" s="18">
        <f t="shared" si="3"/>
        <v>0</v>
      </c>
      <c r="O12" s="33">
        <f t="shared" si="3"/>
        <v>0</v>
      </c>
      <c r="P12" s="33">
        <f t="shared" si="3"/>
        <v>0</v>
      </c>
      <c r="Q12" s="18">
        <f t="shared" si="3"/>
        <v>0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45" s="34" customFormat="1" ht="30" customHeight="1" x14ac:dyDescent="0.35">
      <c r="A13" s="13" t="s">
        <v>21</v>
      </c>
      <c r="B13" s="21"/>
      <c r="C13" s="29"/>
      <c r="D13" s="37"/>
      <c r="E13" s="38"/>
      <c r="F13" s="17"/>
      <c r="G13" s="18">
        <f>H13+I13+M13+Q13</f>
        <v>1417342091</v>
      </c>
      <c r="H13" s="33">
        <f t="shared" ref="H13:Q13" si="4">H24+H53+H72+H102+H119+H136+H257+H171+H176+H183+H190+H200+H205+H217+H224+H231+H252+H282+H287+H292+H319+H326+H348+H362+H414+H421+H425+H459+H464+H469+H474+H479+H484+H490+H495+H500+H505+H510</f>
        <v>1265008862</v>
      </c>
      <c r="I13" s="33">
        <f t="shared" si="4"/>
        <v>81124229</v>
      </c>
      <c r="J13" s="18">
        <f t="shared" si="4"/>
        <v>1346133091</v>
      </c>
      <c r="K13" s="33">
        <f t="shared" si="4"/>
        <v>1265008862</v>
      </c>
      <c r="L13" s="33">
        <f t="shared" si="4"/>
        <v>81124229</v>
      </c>
      <c r="M13" s="18">
        <f t="shared" si="4"/>
        <v>71209000</v>
      </c>
      <c r="N13" s="18">
        <f t="shared" si="4"/>
        <v>0</v>
      </c>
      <c r="O13" s="33">
        <f t="shared" si="4"/>
        <v>0</v>
      </c>
      <c r="P13" s="33">
        <f t="shared" si="4"/>
        <v>0</v>
      </c>
      <c r="Q13" s="18">
        <f t="shared" si="4"/>
        <v>0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</row>
    <row r="14" spans="1:45" s="34" customFormat="1" ht="30" customHeight="1" x14ac:dyDescent="0.35">
      <c r="A14" s="13" t="s">
        <v>22</v>
      </c>
      <c r="B14" s="21"/>
      <c r="C14" s="15"/>
      <c r="D14" s="37"/>
      <c r="E14" s="36">
        <f>E8/G6</f>
        <v>6.9962612734625201E-2</v>
      </c>
      <c r="F14" s="17"/>
      <c r="G14" s="18">
        <f t="shared" ref="G14:Q14" si="5">G28+G59+G98+G104+G107+G115+G233+G303+G315+G350+G413+G522+G519+G538</f>
        <v>881090600</v>
      </c>
      <c r="H14" s="33">
        <f t="shared" si="5"/>
        <v>638478255</v>
      </c>
      <c r="I14" s="33">
        <f t="shared" si="5"/>
        <v>44207495</v>
      </c>
      <c r="J14" s="18">
        <f t="shared" si="5"/>
        <v>682685750</v>
      </c>
      <c r="K14" s="33">
        <f t="shared" si="5"/>
        <v>638478255</v>
      </c>
      <c r="L14" s="33">
        <f t="shared" si="5"/>
        <v>44207495</v>
      </c>
      <c r="M14" s="18">
        <f t="shared" si="5"/>
        <v>127989250</v>
      </c>
      <c r="N14" s="18">
        <f t="shared" si="5"/>
        <v>0</v>
      </c>
      <c r="O14" s="33">
        <f t="shared" si="5"/>
        <v>0</v>
      </c>
      <c r="P14" s="33">
        <f t="shared" si="5"/>
        <v>0</v>
      </c>
      <c r="Q14" s="18">
        <f t="shared" si="5"/>
        <v>70415600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45" s="34" customFormat="1" ht="30" customHeight="1" x14ac:dyDescent="0.35">
      <c r="A15" s="13" t="s">
        <v>23</v>
      </c>
      <c r="B15" s="21"/>
      <c r="C15" s="15"/>
      <c r="D15" s="36">
        <f>D8/G6</f>
        <v>7.2019921399436679E-2</v>
      </c>
      <c r="E15" s="38"/>
      <c r="F15" s="17"/>
      <c r="G15" s="18">
        <f>H15+I15+M15+Q15</f>
        <v>906999800</v>
      </c>
      <c r="H15" s="33">
        <f t="shared" ref="H15:P15" si="6">H167+H179+H186+H193+H220+H227+H235+H322+H329+H335+H358+H365+H375+H383+H387+H391+H396+H405+H409+H417+H434+H438</f>
        <v>898249831</v>
      </c>
      <c r="I15" s="33">
        <f t="shared" si="6"/>
        <v>8749969</v>
      </c>
      <c r="J15" s="18">
        <f t="shared" si="6"/>
        <v>229500000</v>
      </c>
      <c r="K15" s="33">
        <f t="shared" si="6"/>
        <v>224500000</v>
      </c>
      <c r="L15" s="33">
        <f t="shared" si="6"/>
        <v>5000000</v>
      </c>
      <c r="M15" s="18">
        <f t="shared" si="6"/>
        <v>0</v>
      </c>
      <c r="N15" s="18">
        <f t="shared" si="6"/>
        <v>677499800</v>
      </c>
      <c r="O15" s="33">
        <f t="shared" si="6"/>
        <v>673749831</v>
      </c>
      <c r="P15" s="33">
        <f t="shared" si="6"/>
        <v>3749969</v>
      </c>
      <c r="Q15" s="18">
        <f>Q167+Q179+Q186+Q193+Q220+Q227+Q235+Q322+Q329+Q335+Q358+Q365+Q375+Q383+Q391+Q396+Q405+Q409+Q417+Q434+Q438</f>
        <v>0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45" s="44" customFormat="1" ht="78" x14ac:dyDescent="0.35">
      <c r="A16" s="39" t="s">
        <v>24</v>
      </c>
      <c r="B16" s="40" t="s">
        <v>25</v>
      </c>
      <c r="C16" s="41">
        <f>C17+C77</f>
        <v>187200000</v>
      </c>
      <c r="D16" s="41">
        <f>D17+D77</f>
        <v>0</v>
      </c>
      <c r="E16" s="42">
        <f>E17+E77</f>
        <v>161000000</v>
      </c>
      <c r="F16" s="43"/>
      <c r="G16" s="42">
        <f t="shared" ref="G16:L16" si="7">G17+G77+G82</f>
        <v>1911350000</v>
      </c>
      <c r="H16" s="42">
        <f t="shared" si="7"/>
        <v>1733585276</v>
      </c>
      <c r="I16" s="42">
        <f t="shared" si="7"/>
        <v>177764724</v>
      </c>
      <c r="J16" s="42">
        <f>J17+J77+J82</f>
        <v>1911350000</v>
      </c>
      <c r="K16" s="42">
        <f t="shared" si="7"/>
        <v>1733585276</v>
      </c>
      <c r="L16" s="42">
        <f t="shared" si="7"/>
        <v>177764724</v>
      </c>
      <c r="M16" s="42">
        <f>M17+M77+M82</f>
        <v>0</v>
      </c>
      <c r="N16" s="42">
        <f>N17+N77+N82</f>
        <v>0</v>
      </c>
      <c r="O16" s="42">
        <f>O17+O77+O82</f>
        <v>0</v>
      </c>
      <c r="P16" s="42">
        <f>P17+P77+P82</f>
        <v>0</v>
      </c>
      <c r="Q16" s="42">
        <f>Q17+Q77+Q82</f>
        <v>0</v>
      </c>
    </row>
    <row r="17" spans="1:17" s="44" customFormat="1" ht="30" customHeight="1" x14ac:dyDescent="0.35">
      <c r="A17" s="45" t="s">
        <v>26</v>
      </c>
      <c r="B17" s="46" t="s">
        <v>27</v>
      </c>
      <c r="C17" s="47">
        <f>C18+C46+C55+C66</f>
        <v>187200000</v>
      </c>
      <c r="D17" s="47">
        <f>D18+D46+D55+D66</f>
        <v>0</v>
      </c>
      <c r="E17" s="48">
        <f>E18+E46+E55+E66</f>
        <v>161000000</v>
      </c>
      <c r="F17" s="49"/>
      <c r="G17" s="48">
        <f>G18+G46+G55+G66</f>
        <v>1567467601</v>
      </c>
      <c r="H17" s="48">
        <f t="shared" ref="H17:Q17" si="8">H18+H46+H55+H66</f>
        <v>1409209877</v>
      </c>
      <c r="I17" s="48">
        <f t="shared" si="8"/>
        <v>158257724</v>
      </c>
      <c r="J17" s="48">
        <f t="shared" si="8"/>
        <v>1567467601</v>
      </c>
      <c r="K17" s="48">
        <f t="shared" si="8"/>
        <v>1409209877</v>
      </c>
      <c r="L17" s="48">
        <f t="shared" si="8"/>
        <v>158257724</v>
      </c>
      <c r="M17" s="48">
        <f t="shared" si="8"/>
        <v>0</v>
      </c>
      <c r="N17" s="48">
        <f t="shared" si="8"/>
        <v>0</v>
      </c>
      <c r="O17" s="48">
        <f t="shared" si="8"/>
        <v>0</v>
      </c>
      <c r="P17" s="48">
        <f t="shared" si="8"/>
        <v>0</v>
      </c>
      <c r="Q17" s="48">
        <f t="shared" si="8"/>
        <v>0</v>
      </c>
    </row>
    <row r="18" spans="1:17" s="55" customFormat="1" ht="52" x14ac:dyDescent="0.35">
      <c r="A18" s="50" t="s">
        <v>28</v>
      </c>
      <c r="B18" s="51" t="s">
        <v>29</v>
      </c>
      <c r="C18" s="52">
        <f>C19+C29+C34+C41</f>
        <v>61114176</v>
      </c>
      <c r="D18" s="52">
        <f>+D19+D29+D34+D41</f>
        <v>0</v>
      </c>
      <c r="E18" s="53">
        <f>E19+E29+E34+E41</f>
        <v>50000000</v>
      </c>
      <c r="F18" s="54" t="s">
        <v>30</v>
      </c>
      <c r="G18" s="52">
        <f t="shared" ref="G18:G50" si="9">J18+M18+N18+Q18</f>
        <v>781164176</v>
      </c>
      <c r="H18" s="52">
        <f t="shared" ref="H18:I33" si="10">K18+O18</f>
        <v>690385026</v>
      </c>
      <c r="I18" s="52">
        <f t="shared" si="10"/>
        <v>90779150</v>
      </c>
      <c r="J18" s="52">
        <f>J19+J29+J34+J41</f>
        <v>781164176</v>
      </c>
      <c r="K18" s="52">
        <f t="shared" ref="K18:Q18" si="11">K19+K29+K34+K41</f>
        <v>690385026</v>
      </c>
      <c r="L18" s="52">
        <f t="shared" si="11"/>
        <v>90779150</v>
      </c>
      <c r="M18" s="52">
        <f t="shared" si="11"/>
        <v>0</v>
      </c>
      <c r="N18" s="52">
        <f t="shared" si="11"/>
        <v>0</v>
      </c>
      <c r="O18" s="52">
        <f t="shared" si="11"/>
        <v>0</v>
      </c>
      <c r="P18" s="52">
        <f t="shared" si="11"/>
        <v>0</v>
      </c>
      <c r="Q18" s="52">
        <f t="shared" si="11"/>
        <v>0</v>
      </c>
    </row>
    <row r="19" spans="1:17" ht="28" customHeight="1" x14ac:dyDescent="0.35">
      <c r="A19" s="214" t="s">
        <v>31</v>
      </c>
      <c r="B19" s="215" t="s">
        <v>32</v>
      </c>
      <c r="C19" s="56">
        <f>C20+C22+C26</f>
        <v>61114176</v>
      </c>
      <c r="D19" s="57"/>
      <c r="E19" s="58">
        <f>E20+E22+E26</f>
        <v>50000000</v>
      </c>
      <c r="F19" s="59" t="s">
        <v>33</v>
      </c>
      <c r="G19" s="58">
        <f t="shared" si="9"/>
        <v>385814176</v>
      </c>
      <c r="H19" s="58">
        <f t="shared" si="10"/>
        <v>326965026</v>
      </c>
      <c r="I19" s="58">
        <f t="shared" si="10"/>
        <v>58849150</v>
      </c>
      <c r="J19" s="58">
        <f>J20+J22+J26</f>
        <v>385814176</v>
      </c>
      <c r="K19" s="58">
        <f t="shared" ref="K19:Q19" si="12">K20+K22+K26</f>
        <v>326965026</v>
      </c>
      <c r="L19" s="58">
        <f t="shared" si="12"/>
        <v>58849150</v>
      </c>
      <c r="M19" s="58">
        <f t="shared" si="12"/>
        <v>0</v>
      </c>
      <c r="N19" s="58">
        <f t="shared" si="12"/>
        <v>0</v>
      </c>
      <c r="O19" s="58">
        <f t="shared" si="12"/>
        <v>0</v>
      </c>
      <c r="P19" s="58">
        <f t="shared" si="12"/>
        <v>0</v>
      </c>
      <c r="Q19" s="58">
        <f t="shared" si="12"/>
        <v>0</v>
      </c>
    </row>
    <row r="20" spans="1:17" s="62" customFormat="1" ht="28" customHeight="1" x14ac:dyDescent="0.35">
      <c r="A20" s="214"/>
      <c r="B20" s="215"/>
      <c r="C20" s="60">
        <v>0</v>
      </c>
      <c r="D20" s="60">
        <v>0</v>
      </c>
      <c r="E20" s="60">
        <v>0</v>
      </c>
      <c r="F20" s="61" t="s">
        <v>34</v>
      </c>
      <c r="G20" s="60">
        <f t="shared" si="9"/>
        <v>112550000</v>
      </c>
      <c r="H20" s="60">
        <f t="shared" si="10"/>
        <v>84932075</v>
      </c>
      <c r="I20" s="60">
        <f t="shared" si="10"/>
        <v>27617925</v>
      </c>
      <c r="J20" s="60">
        <f>J21</f>
        <v>112550000</v>
      </c>
      <c r="K20" s="60">
        <f t="shared" ref="K20:Q20" si="13">K21</f>
        <v>84932075</v>
      </c>
      <c r="L20" s="60">
        <f t="shared" si="13"/>
        <v>27617925</v>
      </c>
      <c r="M20" s="60">
        <f t="shared" si="13"/>
        <v>0</v>
      </c>
      <c r="N20" s="60">
        <f t="shared" si="13"/>
        <v>0</v>
      </c>
      <c r="O20" s="60">
        <f t="shared" si="13"/>
        <v>0</v>
      </c>
      <c r="P20" s="60">
        <f t="shared" si="13"/>
        <v>0</v>
      </c>
      <c r="Q20" s="60">
        <f t="shared" si="13"/>
        <v>0</v>
      </c>
    </row>
    <row r="21" spans="1:17" s="62" customFormat="1" ht="28" customHeight="1" x14ac:dyDescent="0.35">
      <c r="A21" s="214"/>
      <c r="B21" s="215"/>
      <c r="C21" s="63"/>
      <c r="D21" s="64"/>
      <c r="E21" s="65"/>
      <c r="F21" s="66" t="s">
        <v>35</v>
      </c>
      <c r="G21" s="67">
        <f t="shared" si="9"/>
        <v>112550000</v>
      </c>
      <c r="H21" s="67">
        <f t="shared" si="10"/>
        <v>84932075</v>
      </c>
      <c r="I21" s="67">
        <f t="shared" si="10"/>
        <v>27617925</v>
      </c>
      <c r="J21" s="67">
        <f>K21+L21</f>
        <v>112550000</v>
      </c>
      <c r="K21" s="67">
        <v>84932075</v>
      </c>
      <c r="L21" s="67">
        <v>27617925</v>
      </c>
      <c r="M21" s="68">
        <v>0</v>
      </c>
      <c r="N21" s="68">
        <f>O21+P21</f>
        <v>0</v>
      </c>
      <c r="O21" s="68">
        <v>0</v>
      </c>
      <c r="P21" s="68">
        <v>0</v>
      </c>
      <c r="Q21" s="68">
        <v>0</v>
      </c>
    </row>
    <row r="22" spans="1:17" s="62" customFormat="1" ht="28" customHeight="1" x14ac:dyDescent="0.35">
      <c r="A22" s="214"/>
      <c r="B22" s="215"/>
      <c r="C22" s="69">
        <f>G24+G25</f>
        <v>61114176</v>
      </c>
      <c r="D22" s="60">
        <v>0</v>
      </c>
      <c r="E22" s="60">
        <v>0</v>
      </c>
      <c r="F22" s="61" t="s">
        <v>36</v>
      </c>
      <c r="G22" s="60">
        <f t="shared" si="9"/>
        <v>61114176</v>
      </c>
      <c r="H22" s="60">
        <f t="shared" si="10"/>
        <v>61114176</v>
      </c>
      <c r="I22" s="60">
        <f t="shared" si="10"/>
        <v>0</v>
      </c>
      <c r="J22" s="60">
        <f>J23+J24+J25</f>
        <v>61114176</v>
      </c>
      <c r="K22" s="60">
        <f t="shared" ref="K22:Q22" si="14">K23+K24+K25</f>
        <v>61114176</v>
      </c>
      <c r="L22" s="60">
        <f t="shared" si="14"/>
        <v>0</v>
      </c>
      <c r="M22" s="60">
        <f t="shared" si="14"/>
        <v>0</v>
      </c>
      <c r="N22" s="60">
        <f t="shared" si="14"/>
        <v>0</v>
      </c>
      <c r="O22" s="60">
        <f t="shared" si="14"/>
        <v>0</v>
      </c>
      <c r="P22" s="60">
        <f t="shared" si="14"/>
        <v>0</v>
      </c>
      <c r="Q22" s="60">
        <f t="shared" si="14"/>
        <v>0</v>
      </c>
    </row>
    <row r="23" spans="1:17" s="62" customFormat="1" ht="28" customHeight="1" x14ac:dyDescent="0.35">
      <c r="A23" s="214"/>
      <c r="B23" s="215"/>
      <c r="C23" s="70"/>
      <c r="D23" s="64"/>
      <c r="E23" s="65"/>
      <c r="F23" s="66" t="s">
        <v>37</v>
      </c>
      <c r="G23" s="67">
        <f t="shared" si="9"/>
        <v>0</v>
      </c>
      <c r="H23" s="67">
        <f t="shared" si="10"/>
        <v>0</v>
      </c>
      <c r="I23" s="67">
        <f t="shared" si="10"/>
        <v>0</v>
      </c>
      <c r="J23" s="67">
        <f>K23+L23</f>
        <v>0</v>
      </c>
      <c r="K23" s="67">
        <v>0</v>
      </c>
      <c r="L23" s="67">
        <v>0</v>
      </c>
      <c r="M23" s="68">
        <v>0</v>
      </c>
      <c r="N23" s="68">
        <f>O23+P23</f>
        <v>0</v>
      </c>
      <c r="O23" s="68">
        <v>0</v>
      </c>
      <c r="P23" s="68">
        <v>0</v>
      </c>
      <c r="Q23" s="68">
        <v>0</v>
      </c>
    </row>
    <row r="24" spans="1:17" s="62" customFormat="1" ht="28" customHeight="1" x14ac:dyDescent="0.35">
      <c r="A24" s="214"/>
      <c r="B24" s="215"/>
      <c r="C24" s="70"/>
      <c r="D24" s="64"/>
      <c r="E24" s="65"/>
      <c r="F24" s="66" t="s">
        <v>38</v>
      </c>
      <c r="G24" s="71">
        <f t="shared" si="9"/>
        <v>48291514</v>
      </c>
      <c r="H24" s="71">
        <f t="shared" si="10"/>
        <v>48291514</v>
      </c>
      <c r="I24" s="71">
        <f t="shared" si="10"/>
        <v>0</v>
      </c>
      <c r="J24" s="71">
        <f>K24+L24</f>
        <v>48291514</v>
      </c>
      <c r="K24" s="71">
        <f>57000000-3838559-1000000-6805114+2085187+850000</f>
        <v>48291514</v>
      </c>
      <c r="L24" s="71">
        <v>0</v>
      </c>
      <c r="M24" s="71">
        <v>0</v>
      </c>
      <c r="N24" s="71">
        <f>O24+P24</f>
        <v>0</v>
      </c>
      <c r="O24" s="71">
        <v>0</v>
      </c>
      <c r="P24" s="71">
        <v>0</v>
      </c>
      <c r="Q24" s="71">
        <v>0</v>
      </c>
    </row>
    <row r="25" spans="1:17" s="62" customFormat="1" ht="28" customHeight="1" x14ac:dyDescent="0.35">
      <c r="A25" s="214"/>
      <c r="B25" s="215"/>
      <c r="C25" s="70"/>
      <c r="D25" s="64"/>
      <c r="E25" s="65"/>
      <c r="F25" s="66" t="s">
        <v>39</v>
      </c>
      <c r="G25" s="71">
        <f t="shared" si="9"/>
        <v>12822662</v>
      </c>
      <c r="H25" s="71">
        <f t="shared" si="10"/>
        <v>12822662</v>
      </c>
      <c r="I25" s="71">
        <f t="shared" si="10"/>
        <v>0</v>
      </c>
      <c r="J25" s="71">
        <f>K25+L25</f>
        <v>12822662</v>
      </c>
      <c r="K25" s="71">
        <f>23000000-508779-607971-813235-1366403-896842-786546-1119360-1143015-2085187-850000</f>
        <v>12822662</v>
      </c>
      <c r="L25" s="71">
        <v>0</v>
      </c>
      <c r="M25" s="71">
        <v>0</v>
      </c>
      <c r="N25" s="71">
        <f>O25+P25</f>
        <v>0</v>
      </c>
      <c r="O25" s="71">
        <v>0</v>
      </c>
      <c r="P25" s="71">
        <v>0</v>
      </c>
      <c r="Q25" s="71">
        <v>0</v>
      </c>
    </row>
    <row r="26" spans="1:17" s="62" customFormat="1" ht="28" customHeight="1" x14ac:dyDescent="0.35">
      <c r="A26" s="214"/>
      <c r="B26" s="215"/>
      <c r="C26" s="60">
        <v>0</v>
      </c>
      <c r="D26" s="60">
        <v>0</v>
      </c>
      <c r="E26" s="72">
        <f>G28</f>
        <v>50000000</v>
      </c>
      <c r="F26" s="61" t="s">
        <v>40</v>
      </c>
      <c r="G26" s="60">
        <f t="shared" si="9"/>
        <v>212150000</v>
      </c>
      <c r="H26" s="60">
        <f t="shared" si="10"/>
        <v>180918775</v>
      </c>
      <c r="I26" s="60">
        <f t="shared" si="10"/>
        <v>31231225</v>
      </c>
      <c r="J26" s="60">
        <f>J27+J28</f>
        <v>212150000</v>
      </c>
      <c r="K26" s="60">
        <f t="shared" ref="K26:Q26" si="15">K27+K28</f>
        <v>180918775</v>
      </c>
      <c r="L26" s="60">
        <f t="shared" si="15"/>
        <v>31231225</v>
      </c>
      <c r="M26" s="60">
        <f t="shared" si="15"/>
        <v>0</v>
      </c>
      <c r="N26" s="60">
        <f t="shared" si="15"/>
        <v>0</v>
      </c>
      <c r="O26" s="60">
        <f t="shared" si="15"/>
        <v>0</v>
      </c>
      <c r="P26" s="60">
        <f t="shared" si="15"/>
        <v>0</v>
      </c>
      <c r="Q26" s="60">
        <f t="shared" si="15"/>
        <v>0</v>
      </c>
    </row>
    <row r="27" spans="1:17" s="62" customFormat="1" ht="28" customHeight="1" x14ac:dyDescent="0.35">
      <c r="A27" s="214"/>
      <c r="B27" s="215"/>
      <c r="C27" s="63"/>
      <c r="D27" s="64"/>
      <c r="E27" s="73"/>
      <c r="F27" s="66" t="s">
        <v>41</v>
      </c>
      <c r="G27" s="67">
        <f t="shared" si="9"/>
        <v>162150000</v>
      </c>
      <c r="H27" s="67">
        <f t="shared" si="10"/>
        <v>130918775</v>
      </c>
      <c r="I27" s="67">
        <f t="shared" si="10"/>
        <v>31231225</v>
      </c>
      <c r="J27" s="67">
        <f>K27+L27</f>
        <v>162150000</v>
      </c>
      <c r="K27" s="67">
        <f>155918775-25000000</f>
        <v>130918775</v>
      </c>
      <c r="L27" s="67">
        <v>31231225</v>
      </c>
      <c r="M27" s="68">
        <v>0</v>
      </c>
      <c r="N27" s="68">
        <f>O27+P27</f>
        <v>0</v>
      </c>
      <c r="O27" s="68">
        <v>0</v>
      </c>
      <c r="P27" s="68">
        <v>0</v>
      </c>
      <c r="Q27" s="68">
        <v>0</v>
      </c>
    </row>
    <row r="28" spans="1:17" s="62" customFormat="1" ht="28" customHeight="1" x14ac:dyDescent="0.35">
      <c r="A28" s="214"/>
      <c r="B28" s="215"/>
      <c r="C28" s="63"/>
      <c r="D28" s="64"/>
      <c r="E28" s="73"/>
      <c r="F28" s="66" t="s">
        <v>42</v>
      </c>
      <c r="G28" s="74">
        <f t="shared" si="9"/>
        <v>50000000</v>
      </c>
      <c r="H28" s="74">
        <f t="shared" si="10"/>
        <v>50000000</v>
      </c>
      <c r="I28" s="74">
        <f t="shared" si="10"/>
        <v>0</v>
      </c>
      <c r="J28" s="74">
        <f>K28+L28</f>
        <v>50000000</v>
      </c>
      <c r="K28" s="74">
        <v>50000000</v>
      </c>
      <c r="L28" s="74">
        <v>0</v>
      </c>
      <c r="M28" s="74">
        <v>0</v>
      </c>
      <c r="N28" s="74">
        <f>O28+P28</f>
        <v>0</v>
      </c>
      <c r="O28" s="74">
        <v>0</v>
      </c>
      <c r="P28" s="74">
        <v>0</v>
      </c>
      <c r="Q28" s="74">
        <v>0</v>
      </c>
    </row>
    <row r="29" spans="1:17" ht="28" customHeight="1" x14ac:dyDescent="0.35">
      <c r="A29" s="214" t="s">
        <v>43</v>
      </c>
      <c r="B29" s="215" t="s">
        <v>44</v>
      </c>
      <c r="C29" s="56">
        <f>C30+C32</f>
        <v>0</v>
      </c>
      <c r="D29" s="57">
        <f>D30+D32</f>
        <v>0</v>
      </c>
      <c r="E29" s="58">
        <f>E30+E32</f>
        <v>0</v>
      </c>
      <c r="F29" s="59" t="s">
        <v>45</v>
      </c>
      <c r="G29" s="58">
        <f t="shared" si="9"/>
        <v>141750000</v>
      </c>
      <c r="H29" s="58">
        <f t="shared" si="10"/>
        <v>129650000</v>
      </c>
      <c r="I29" s="58">
        <f t="shared" si="10"/>
        <v>12100000</v>
      </c>
      <c r="J29" s="58">
        <f>J30+J32</f>
        <v>141750000</v>
      </c>
      <c r="K29" s="58">
        <f t="shared" ref="K29:Q29" si="16">K30+K32</f>
        <v>129650000</v>
      </c>
      <c r="L29" s="58">
        <f t="shared" si="16"/>
        <v>12100000</v>
      </c>
      <c r="M29" s="58">
        <f t="shared" si="16"/>
        <v>0</v>
      </c>
      <c r="N29" s="58">
        <f t="shared" si="16"/>
        <v>0</v>
      </c>
      <c r="O29" s="58">
        <f t="shared" si="16"/>
        <v>0</v>
      </c>
      <c r="P29" s="58">
        <f t="shared" si="16"/>
        <v>0</v>
      </c>
      <c r="Q29" s="58">
        <f t="shared" si="16"/>
        <v>0</v>
      </c>
    </row>
    <row r="30" spans="1:17" ht="28" customHeight="1" x14ac:dyDescent="0.35">
      <c r="A30" s="214"/>
      <c r="B30" s="215"/>
      <c r="C30" s="60">
        <v>0</v>
      </c>
      <c r="D30" s="60">
        <v>0</v>
      </c>
      <c r="E30" s="60">
        <v>0</v>
      </c>
      <c r="F30" s="61" t="s">
        <v>34</v>
      </c>
      <c r="G30" s="60">
        <f t="shared" si="9"/>
        <v>141750000</v>
      </c>
      <c r="H30" s="60">
        <f t="shared" si="10"/>
        <v>129650000</v>
      </c>
      <c r="I30" s="60">
        <f t="shared" si="10"/>
        <v>12100000</v>
      </c>
      <c r="J30" s="60">
        <f>J31</f>
        <v>141750000</v>
      </c>
      <c r="K30" s="60">
        <f t="shared" ref="K30:Q30" si="17">K31</f>
        <v>129650000</v>
      </c>
      <c r="L30" s="60">
        <f t="shared" si="17"/>
        <v>12100000</v>
      </c>
      <c r="M30" s="60">
        <f t="shared" si="17"/>
        <v>0</v>
      </c>
      <c r="N30" s="60">
        <f t="shared" si="17"/>
        <v>0</v>
      </c>
      <c r="O30" s="60">
        <f t="shared" si="17"/>
        <v>0</v>
      </c>
      <c r="P30" s="60">
        <f t="shared" si="17"/>
        <v>0</v>
      </c>
      <c r="Q30" s="60">
        <f t="shared" si="17"/>
        <v>0</v>
      </c>
    </row>
    <row r="31" spans="1:17" ht="28" customHeight="1" x14ac:dyDescent="0.35">
      <c r="A31" s="214"/>
      <c r="B31" s="215"/>
      <c r="C31" s="63"/>
      <c r="D31" s="19"/>
      <c r="E31" s="19"/>
      <c r="F31" s="66" t="s">
        <v>35</v>
      </c>
      <c r="G31" s="67">
        <f t="shared" si="9"/>
        <v>141750000</v>
      </c>
      <c r="H31" s="67">
        <f t="shared" si="10"/>
        <v>129650000</v>
      </c>
      <c r="I31" s="67">
        <f t="shared" si="10"/>
        <v>12100000</v>
      </c>
      <c r="J31" s="67">
        <f>K31+L31</f>
        <v>141750000</v>
      </c>
      <c r="K31" s="67">
        <v>129650000</v>
      </c>
      <c r="L31" s="67">
        <v>12100000</v>
      </c>
      <c r="M31" s="68">
        <v>0</v>
      </c>
      <c r="N31" s="67">
        <f>O31+P31</f>
        <v>0</v>
      </c>
      <c r="O31" s="68">
        <v>0</v>
      </c>
      <c r="P31" s="68">
        <v>0</v>
      </c>
      <c r="Q31" s="68">
        <v>0</v>
      </c>
    </row>
    <row r="32" spans="1:17" ht="28" customHeight="1" x14ac:dyDescent="0.35">
      <c r="A32" s="214"/>
      <c r="B32" s="215"/>
      <c r="C32" s="60">
        <v>0</v>
      </c>
      <c r="D32" s="60">
        <v>0</v>
      </c>
      <c r="E32" s="60">
        <v>0</v>
      </c>
      <c r="F32" s="61" t="s">
        <v>40</v>
      </c>
      <c r="G32" s="60">
        <f t="shared" si="9"/>
        <v>0</v>
      </c>
      <c r="H32" s="60">
        <f t="shared" si="10"/>
        <v>0</v>
      </c>
      <c r="I32" s="60">
        <f t="shared" si="10"/>
        <v>0</v>
      </c>
      <c r="J32" s="60">
        <f>J33</f>
        <v>0</v>
      </c>
      <c r="K32" s="60">
        <f t="shared" ref="K32:Q32" si="18">K33</f>
        <v>0</v>
      </c>
      <c r="L32" s="60">
        <f t="shared" si="18"/>
        <v>0</v>
      </c>
      <c r="M32" s="60">
        <f t="shared" si="18"/>
        <v>0</v>
      </c>
      <c r="N32" s="60">
        <f t="shared" si="18"/>
        <v>0</v>
      </c>
      <c r="O32" s="60">
        <f t="shared" si="18"/>
        <v>0</v>
      </c>
      <c r="P32" s="60">
        <f t="shared" si="18"/>
        <v>0</v>
      </c>
      <c r="Q32" s="60">
        <f t="shared" si="18"/>
        <v>0</v>
      </c>
    </row>
    <row r="33" spans="1:17" ht="28" customHeight="1" x14ac:dyDescent="0.35">
      <c r="A33" s="214"/>
      <c r="B33" s="215"/>
      <c r="C33" s="63"/>
      <c r="D33" s="19"/>
      <c r="E33" s="19"/>
      <c r="F33" s="66" t="s">
        <v>41</v>
      </c>
      <c r="G33" s="67">
        <f t="shared" si="9"/>
        <v>0</v>
      </c>
      <c r="H33" s="67">
        <f t="shared" si="10"/>
        <v>0</v>
      </c>
      <c r="I33" s="67">
        <f t="shared" si="10"/>
        <v>0</v>
      </c>
      <c r="J33" s="67">
        <f>K33+L33</f>
        <v>0</v>
      </c>
      <c r="K33" s="67">
        <f>20750000-20750000</f>
        <v>0</v>
      </c>
      <c r="L33" s="67">
        <v>0</v>
      </c>
      <c r="M33" s="68">
        <v>0</v>
      </c>
      <c r="N33" s="67">
        <f>O33+P33</f>
        <v>0</v>
      </c>
      <c r="O33" s="68">
        <v>0</v>
      </c>
      <c r="P33" s="68">
        <v>0</v>
      </c>
      <c r="Q33" s="68">
        <v>0</v>
      </c>
    </row>
    <row r="34" spans="1:17" ht="28" customHeight="1" x14ac:dyDescent="0.35">
      <c r="A34" s="214" t="s">
        <v>46</v>
      </c>
      <c r="B34" s="215" t="s">
        <v>47</v>
      </c>
      <c r="C34" s="56">
        <f>C35+C37+C39</f>
        <v>0</v>
      </c>
      <c r="D34" s="57">
        <f>D35+D37+D39</f>
        <v>0</v>
      </c>
      <c r="E34" s="58">
        <f>E35+E37+E39</f>
        <v>0</v>
      </c>
      <c r="F34" s="59" t="s">
        <v>48</v>
      </c>
      <c r="G34" s="58">
        <f t="shared" si="9"/>
        <v>86200000</v>
      </c>
      <c r="H34" s="58">
        <f t="shared" ref="H34:I43" si="19">K34+O34</f>
        <v>76800000</v>
      </c>
      <c r="I34" s="58">
        <f t="shared" si="19"/>
        <v>9400000</v>
      </c>
      <c r="J34" s="58">
        <f>J35+J37+J39</f>
        <v>86200000</v>
      </c>
      <c r="K34" s="58">
        <f t="shared" ref="K34:Q34" si="20">K35+K37+K39</f>
        <v>76800000</v>
      </c>
      <c r="L34" s="58">
        <f t="shared" si="20"/>
        <v>9400000</v>
      </c>
      <c r="M34" s="58">
        <f t="shared" si="20"/>
        <v>0</v>
      </c>
      <c r="N34" s="58">
        <f t="shared" si="20"/>
        <v>0</v>
      </c>
      <c r="O34" s="58">
        <f t="shared" si="20"/>
        <v>0</v>
      </c>
      <c r="P34" s="58">
        <f t="shared" si="20"/>
        <v>0</v>
      </c>
      <c r="Q34" s="58">
        <f t="shared" si="20"/>
        <v>0</v>
      </c>
    </row>
    <row r="35" spans="1:17" s="62" customFormat="1" ht="28" customHeight="1" x14ac:dyDescent="0.35">
      <c r="A35" s="214"/>
      <c r="B35" s="215"/>
      <c r="C35" s="60">
        <v>0</v>
      </c>
      <c r="D35" s="60">
        <v>0</v>
      </c>
      <c r="E35" s="60">
        <v>0</v>
      </c>
      <c r="F35" s="61" t="s">
        <v>34</v>
      </c>
      <c r="G35" s="60">
        <f t="shared" si="9"/>
        <v>63017470</v>
      </c>
      <c r="H35" s="60">
        <f t="shared" si="19"/>
        <v>55117470</v>
      </c>
      <c r="I35" s="60">
        <f t="shared" si="19"/>
        <v>7900000</v>
      </c>
      <c r="J35" s="60">
        <f>J36</f>
        <v>63017470</v>
      </c>
      <c r="K35" s="60">
        <f t="shared" ref="K35:Q35" si="21">K36</f>
        <v>55117470</v>
      </c>
      <c r="L35" s="60">
        <f t="shared" si="21"/>
        <v>7900000</v>
      </c>
      <c r="M35" s="60">
        <f t="shared" si="21"/>
        <v>0</v>
      </c>
      <c r="N35" s="60">
        <f t="shared" si="21"/>
        <v>0</v>
      </c>
      <c r="O35" s="60">
        <f t="shared" si="21"/>
        <v>0</v>
      </c>
      <c r="P35" s="60">
        <f t="shared" si="21"/>
        <v>0</v>
      </c>
      <c r="Q35" s="60">
        <f t="shared" si="21"/>
        <v>0</v>
      </c>
    </row>
    <row r="36" spans="1:17" s="62" customFormat="1" ht="28" customHeight="1" x14ac:dyDescent="0.35">
      <c r="A36" s="214"/>
      <c r="B36" s="215"/>
      <c r="C36" s="63"/>
      <c r="D36" s="64"/>
      <c r="E36" s="64"/>
      <c r="F36" s="66" t="s">
        <v>35</v>
      </c>
      <c r="G36" s="67">
        <f t="shared" si="9"/>
        <v>63017470</v>
      </c>
      <c r="H36" s="67">
        <f t="shared" si="19"/>
        <v>55117470</v>
      </c>
      <c r="I36" s="67">
        <f t="shared" si="19"/>
        <v>7900000</v>
      </c>
      <c r="J36" s="67">
        <f>K36+L36</f>
        <v>63017470</v>
      </c>
      <c r="K36" s="67">
        <f>81117470-26000000</f>
        <v>55117470</v>
      </c>
      <c r="L36" s="67">
        <f>7900000</f>
        <v>7900000</v>
      </c>
      <c r="M36" s="68">
        <v>0</v>
      </c>
      <c r="N36" s="67">
        <f>O36+P36</f>
        <v>0</v>
      </c>
      <c r="O36" s="68">
        <v>0</v>
      </c>
      <c r="P36" s="68">
        <v>0</v>
      </c>
      <c r="Q36" s="68">
        <v>0</v>
      </c>
    </row>
    <row r="37" spans="1:17" s="62" customFormat="1" ht="28" customHeight="1" x14ac:dyDescent="0.35">
      <c r="A37" s="214"/>
      <c r="B37" s="215"/>
      <c r="C37" s="60">
        <v>0</v>
      </c>
      <c r="D37" s="60">
        <v>0</v>
      </c>
      <c r="E37" s="60">
        <v>0</v>
      </c>
      <c r="F37" s="61" t="s">
        <v>40</v>
      </c>
      <c r="G37" s="60">
        <f t="shared" si="9"/>
        <v>14688554</v>
      </c>
      <c r="H37" s="60">
        <f t="shared" si="19"/>
        <v>13188554</v>
      </c>
      <c r="I37" s="60">
        <f t="shared" si="19"/>
        <v>1500000</v>
      </c>
      <c r="J37" s="60">
        <f>J38</f>
        <v>14688554</v>
      </c>
      <c r="K37" s="60">
        <f t="shared" ref="K37:Q37" si="22">K38</f>
        <v>13188554</v>
      </c>
      <c r="L37" s="60">
        <f t="shared" si="22"/>
        <v>1500000</v>
      </c>
      <c r="M37" s="60">
        <f t="shared" si="22"/>
        <v>0</v>
      </c>
      <c r="N37" s="60">
        <f t="shared" si="22"/>
        <v>0</v>
      </c>
      <c r="O37" s="60">
        <f t="shared" si="22"/>
        <v>0</v>
      </c>
      <c r="P37" s="60">
        <f t="shared" si="22"/>
        <v>0</v>
      </c>
      <c r="Q37" s="60">
        <f t="shared" si="22"/>
        <v>0</v>
      </c>
    </row>
    <row r="38" spans="1:17" s="62" customFormat="1" ht="28" customHeight="1" x14ac:dyDescent="0.35">
      <c r="A38" s="214"/>
      <c r="B38" s="215"/>
      <c r="C38" s="63"/>
      <c r="D38" s="64"/>
      <c r="E38" s="64"/>
      <c r="F38" s="66" t="s">
        <v>41</v>
      </c>
      <c r="G38" s="67">
        <f t="shared" si="9"/>
        <v>14688554</v>
      </c>
      <c r="H38" s="67">
        <f t="shared" si="19"/>
        <v>13188554</v>
      </c>
      <c r="I38" s="67">
        <f t="shared" si="19"/>
        <v>1500000</v>
      </c>
      <c r="J38" s="67">
        <f>K38+L38</f>
        <v>14688554</v>
      </c>
      <c r="K38" s="67">
        <f>23188554-10000000</f>
        <v>13188554</v>
      </c>
      <c r="L38" s="67">
        <v>1500000</v>
      </c>
      <c r="M38" s="68">
        <v>0</v>
      </c>
      <c r="N38" s="67">
        <f>O38+P38</f>
        <v>0</v>
      </c>
      <c r="O38" s="68">
        <v>0</v>
      </c>
      <c r="P38" s="68">
        <v>0</v>
      </c>
      <c r="Q38" s="68">
        <v>0</v>
      </c>
    </row>
    <row r="39" spans="1:17" s="62" customFormat="1" ht="28" customHeight="1" x14ac:dyDescent="0.35">
      <c r="A39" s="214"/>
      <c r="B39" s="215"/>
      <c r="C39" s="60">
        <v>0</v>
      </c>
      <c r="D39" s="60">
        <v>0</v>
      </c>
      <c r="E39" s="60">
        <v>0</v>
      </c>
      <c r="F39" s="61" t="s">
        <v>49</v>
      </c>
      <c r="G39" s="60">
        <f t="shared" si="9"/>
        <v>8493976</v>
      </c>
      <c r="H39" s="60">
        <f t="shared" si="19"/>
        <v>8493976</v>
      </c>
      <c r="I39" s="60">
        <f t="shared" si="19"/>
        <v>0</v>
      </c>
      <c r="J39" s="60">
        <f>J40</f>
        <v>8493976</v>
      </c>
      <c r="K39" s="60">
        <f t="shared" ref="K39:Q39" si="23">K40</f>
        <v>8493976</v>
      </c>
      <c r="L39" s="60">
        <f t="shared" si="23"/>
        <v>0</v>
      </c>
      <c r="M39" s="60">
        <f t="shared" si="23"/>
        <v>0</v>
      </c>
      <c r="N39" s="60">
        <f t="shared" si="23"/>
        <v>0</v>
      </c>
      <c r="O39" s="60">
        <f t="shared" si="23"/>
        <v>0</v>
      </c>
      <c r="P39" s="60">
        <f t="shared" si="23"/>
        <v>0</v>
      </c>
      <c r="Q39" s="60">
        <f t="shared" si="23"/>
        <v>0</v>
      </c>
    </row>
    <row r="40" spans="1:17" s="62" customFormat="1" ht="28" customHeight="1" x14ac:dyDescent="0.35">
      <c r="A40" s="214"/>
      <c r="B40" s="215"/>
      <c r="C40" s="63"/>
      <c r="D40" s="64"/>
      <c r="E40" s="64"/>
      <c r="F40" s="66" t="s">
        <v>50</v>
      </c>
      <c r="G40" s="67">
        <f t="shared" si="9"/>
        <v>8493976</v>
      </c>
      <c r="H40" s="67">
        <f t="shared" si="19"/>
        <v>8493976</v>
      </c>
      <c r="I40" s="67">
        <f t="shared" si="19"/>
        <v>0</v>
      </c>
      <c r="J40" s="67">
        <f>K40+L40</f>
        <v>8493976</v>
      </c>
      <c r="K40" s="67">
        <v>8493976</v>
      </c>
      <c r="L40" s="67">
        <v>0</v>
      </c>
      <c r="M40" s="68">
        <v>0</v>
      </c>
      <c r="N40" s="67">
        <f>O40+P40</f>
        <v>0</v>
      </c>
      <c r="O40" s="68">
        <v>0</v>
      </c>
      <c r="P40" s="68">
        <v>0</v>
      </c>
      <c r="Q40" s="68">
        <v>0</v>
      </c>
    </row>
    <row r="41" spans="1:17" ht="28" customHeight="1" x14ac:dyDescent="0.35">
      <c r="A41" s="214" t="s">
        <v>51</v>
      </c>
      <c r="B41" s="215" t="s">
        <v>52</v>
      </c>
      <c r="C41" s="56">
        <f>C42+C44</f>
        <v>0</v>
      </c>
      <c r="D41" s="57">
        <f>D42+D44</f>
        <v>0</v>
      </c>
      <c r="E41" s="58">
        <f>E42+E44</f>
        <v>0</v>
      </c>
      <c r="F41" s="59" t="s">
        <v>53</v>
      </c>
      <c r="G41" s="58">
        <f t="shared" si="9"/>
        <v>167400000</v>
      </c>
      <c r="H41" s="58">
        <f t="shared" si="19"/>
        <v>156970000</v>
      </c>
      <c r="I41" s="58">
        <f t="shared" si="19"/>
        <v>10430000</v>
      </c>
      <c r="J41" s="58">
        <f>J42+J44</f>
        <v>167400000</v>
      </c>
      <c r="K41" s="58">
        <f t="shared" ref="K41:Q41" si="24">K42+K44</f>
        <v>156970000</v>
      </c>
      <c r="L41" s="58">
        <f t="shared" si="24"/>
        <v>10430000</v>
      </c>
      <c r="M41" s="58">
        <f t="shared" si="24"/>
        <v>0</v>
      </c>
      <c r="N41" s="58">
        <f t="shared" si="24"/>
        <v>0</v>
      </c>
      <c r="O41" s="58">
        <f t="shared" si="24"/>
        <v>0</v>
      </c>
      <c r="P41" s="58">
        <f t="shared" si="24"/>
        <v>0</v>
      </c>
      <c r="Q41" s="58">
        <f t="shared" si="24"/>
        <v>0</v>
      </c>
    </row>
    <row r="42" spans="1:17" s="62" customFormat="1" ht="28" customHeight="1" x14ac:dyDescent="0.35">
      <c r="A42" s="214"/>
      <c r="B42" s="215"/>
      <c r="C42" s="60">
        <v>0</v>
      </c>
      <c r="D42" s="60">
        <v>0</v>
      </c>
      <c r="E42" s="60">
        <v>0</v>
      </c>
      <c r="F42" s="61" t="s">
        <v>34</v>
      </c>
      <c r="G42" s="60">
        <f t="shared" si="9"/>
        <v>17400000</v>
      </c>
      <c r="H42" s="60">
        <f t="shared" si="19"/>
        <v>6970000</v>
      </c>
      <c r="I42" s="60">
        <f t="shared" si="19"/>
        <v>10430000</v>
      </c>
      <c r="J42" s="60">
        <f>J43</f>
        <v>17400000</v>
      </c>
      <c r="K42" s="60">
        <f t="shared" ref="K42:Q42" si="25">K43</f>
        <v>6970000</v>
      </c>
      <c r="L42" s="60">
        <f t="shared" si="25"/>
        <v>10430000</v>
      </c>
      <c r="M42" s="60">
        <f t="shared" si="25"/>
        <v>0</v>
      </c>
      <c r="N42" s="60">
        <f t="shared" si="25"/>
        <v>0</v>
      </c>
      <c r="O42" s="60">
        <f t="shared" si="25"/>
        <v>0</v>
      </c>
      <c r="P42" s="60">
        <f t="shared" si="25"/>
        <v>0</v>
      </c>
      <c r="Q42" s="60">
        <f t="shared" si="25"/>
        <v>0</v>
      </c>
    </row>
    <row r="43" spans="1:17" s="62" customFormat="1" ht="28" customHeight="1" x14ac:dyDescent="0.35">
      <c r="A43" s="214"/>
      <c r="B43" s="215"/>
      <c r="C43" s="63"/>
      <c r="D43" s="64"/>
      <c r="E43" s="64"/>
      <c r="F43" s="66" t="s">
        <v>35</v>
      </c>
      <c r="G43" s="67">
        <f t="shared" si="9"/>
        <v>17400000</v>
      </c>
      <c r="H43" s="67">
        <f t="shared" si="19"/>
        <v>6970000</v>
      </c>
      <c r="I43" s="67">
        <f t="shared" si="19"/>
        <v>10430000</v>
      </c>
      <c r="J43" s="67">
        <f>K43+L43</f>
        <v>17400000</v>
      </c>
      <c r="K43" s="67">
        <f>50400000-43430000</f>
        <v>6970000</v>
      </c>
      <c r="L43" s="67">
        <f>18000000-7570000</f>
        <v>10430000</v>
      </c>
      <c r="M43" s="68">
        <v>0</v>
      </c>
      <c r="N43" s="67">
        <f>O43+P43</f>
        <v>0</v>
      </c>
      <c r="O43" s="68">
        <v>0</v>
      </c>
      <c r="P43" s="68">
        <v>0</v>
      </c>
      <c r="Q43" s="68">
        <v>0</v>
      </c>
    </row>
    <row r="44" spans="1:17" s="62" customFormat="1" ht="28" customHeight="1" x14ac:dyDescent="0.35">
      <c r="A44" s="214"/>
      <c r="B44" s="215"/>
      <c r="C44" s="60">
        <v>0</v>
      </c>
      <c r="D44" s="60">
        <v>0</v>
      </c>
      <c r="E44" s="60">
        <v>0</v>
      </c>
      <c r="F44" s="61" t="s">
        <v>49</v>
      </c>
      <c r="G44" s="60">
        <f t="shared" si="9"/>
        <v>150000000</v>
      </c>
      <c r="H44" s="60">
        <f>K44+O44</f>
        <v>150000000</v>
      </c>
      <c r="I44" s="60">
        <f>L44+P44</f>
        <v>0</v>
      </c>
      <c r="J44" s="60">
        <f>J45</f>
        <v>150000000</v>
      </c>
      <c r="K44" s="60">
        <f t="shared" ref="K44:Q44" si="26">K45</f>
        <v>150000000</v>
      </c>
      <c r="L44" s="60">
        <f t="shared" si="26"/>
        <v>0</v>
      </c>
      <c r="M44" s="60">
        <f t="shared" si="26"/>
        <v>0</v>
      </c>
      <c r="N44" s="60">
        <f t="shared" si="26"/>
        <v>0</v>
      </c>
      <c r="O44" s="60">
        <f t="shared" si="26"/>
        <v>0</v>
      </c>
      <c r="P44" s="60">
        <f t="shared" si="26"/>
        <v>0</v>
      </c>
      <c r="Q44" s="60">
        <f t="shared" si="26"/>
        <v>0</v>
      </c>
    </row>
    <row r="45" spans="1:17" s="62" customFormat="1" ht="28" customHeight="1" x14ac:dyDescent="0.35">
      <c r="A45" s="214"/>
      <c r="B45" s="215"/>
      <c r="C45" s="63"/>
      <c r="D45" s="64"/>
      <c r="E45" s="64"/>
      <c r="F45" s="66" t="s">
        <v>50</v>
      </c>
      <c r="G45" s="67">
        <f t="shared" si="9"/>
        <v>150000000</v>
      </c>
      <c r="H45" s="67">
        <f t="shared" ref="H45:I48" si="27">K45+O45</f>
        <v>150000000</v>
      </c>
      <c r="I45" s="67">
        <f t="shared" si="27"/>
        <v>0</v>
      </c>
      <c r="J45" s="67">
        <f>K45+L45</f>
        <v>150000000</v>
      </c>
      <c r="K45" s="67">
        <f>190000000-40000000</f>
        <v>150000000</v>
      </c>
      <c r="L45" s="67">
        <v>0</v>
      </c>
      <c r="M45" s="68">
        <v>0</v>
      </c>
      <c r="N45" s="67">
        <f>O45+P45</f>
        <v>0</v>
      </c>
      <c r="O45" s="68">
        <v>0</v>
      </c>
      <c r="P45" s="68">
        <v>0</v>
      </c>
      <c r="Q45" s="68">
        <v>0</v>
      </c>
    </row>
    <row r="46" spans="1:17" s="75" customFormat="1" ht="79" customHeight="1" x14ac:dyDescent="0.35">
      <c r="A46" s="50" t="s">
        <v>54</v>
      </c>
      <c r="B46" s="51" t="s">
        <v>55</v>
      </c>
      <c r="C46" s="52">
        <f>C47+C50</f>
        <v>69285312</v>
      </c>
      <c r="D46" s="52">
        <f>D47+D50</f>
        <v>0</v>
      </c>
      <c r="E46" s="53">
        <f>E47+E50</f>
        <v>0</v>
      </c>
      <c r="F46" s="54" t="s">
        <v>56</v>
      </c>
      <c r="G46" s="52">
        <f t="shared" si="9"/>
        <v>359635312</v>
      </c>
      <c r="H46" s="52">
        <f t="shared" si="27"/>
        <v>334875312</v>
      </c>
      <c r="I46" s="52">
        <f t="shared" si="27"/>
        <v>24760000</v>
      </c>
      <c r="J46" s="52">
        <f>J47+J50</f>
        <v>359635312</v>
      </c>
      <c r="K46" s="52">
        <f t="shared" ref="K46:Q46" si="28">K47+K50</f>
        <v>334875312</v>
      </c>
      <c r="L46" s="52">
        <f t="shared" si="28"/>
        <v>24760000</v>
      </c>
      <c r="M46" s="52">
        <f t="shared" si="28"/>
        <v>0</v>
      </c>
      <c r="N46" s="52">
        <f t="shared" si="28"/>
        <v>0</v>
      </c>
      <c r="O46" s="52">
        <f t="shared" si="28"/>
        <v>0</v>
      </c>
      <c r="P46" s="52">
        <f t="shared" si="28"/>
        <v>0</v>
      </c>
      <c r="Q46" s="52">
        <f t="shared" si="28"/>
        <v>0</v>
      </c>
    </row>
    <row r="47" spans="1:17" s="76" customFormat="1" ht="28.5" customHeight="1" x14ac:dyDescent="0.35">
      <c r="A47" s="214" t="s">
        <v>57</v>
      </c>
      <c r="B47" s="215" t="s">
        <v>58</v>
      </c>
      <c r="C47" s="56">
        <f>C48</f>
        <v>0</v>
      </c>
      <c r="D47" s="57">
        <f>D48</f>
        <v>0</v>
      </c>
      <c r="E47" s="58">
        <f>E48</f>
        <v>0</v>
      </c>
      <c r="F47" s="59" t="s">
        <v>59</v>
      </c>
      <c r="G47" s="58">
        <f t="shared" si="9"/>
        <v>249050000</v>
      </c>
      <c r="H47" s="58">
        <f t="shared" si="27"/>
        <v>230390000</v>
      </c>
      <c r="I47" s="58">
        <f t="shared" si="27"/>
        <v>18660000</v>
      </c>
      <c r="J47" s="58">
        <f>J48</f>
        <v>249050000</v>
      </c>
      <c r="K47" s="58">
        <f>K48</f>
        <v>230390000</v>
      </c>
      <c r="L47" s="58">
        <f>L48</f>
        <v>18660000</v>
      </c>
      <c r="M47" s="58">
        <f>M48+M51</f>
        <v>0</v>
      </c>
      <c r="N47" s="58">
        <f>N48+N51</f>
        <v>0</v>
      </c>
      <c r="O47" s="58">
        <f>O48+O51</f>
        <v>0</v>
      </c>
      <c r="P47" s="58">
        <f>P48+P51</f>
        <v>0</v>
      </c>
      <c r="Q47" s="58">
        <f>Q48+Q51</f>
        <v>0</v>
      </c>
    </row>
    <row r="48" spans="1:17" s="76" customFormat="1" ht="28.5" customHeight="1" x14ac:dyDescent="0.35">
      <c r="A48" s="214"/>
      <c r="B48" s="215"/>
      <c r="C48" s="60">
        <v>0</v>
      </c>
      <c r="D48" s="60">
        <v>0</v>
      </c>
      <c r="E48" s="60">
        <v>0</v>
      </c>
      <c r="F48" s="61" t="s">
        <v>36</v>
      </c>
      <c r="G48" s="60">
        <f t="shared" si="9"/>
        <v>249050000</v>
      </c>
      <c r="H48" s="60">
        <f t="shared" si="27"/>
        <v>230390000</v>
      </c>
      <c r="I48" s="60">
        <f t="shared" si="27"/>
        <v>18660000</v>
      </c>
      <c r="J48" s="60">
        <f>J49</f>
        <v>249050000</v>
      </c>
      <c r="K48" s="60">
        <f>J48-L48</f>
        <v>230390000</v>
      </c>
      <c r="L48" s="60">
        <f>L49</f>
        <v>18660000</v>
      </c>
      <c r="M48" s="60">
        <v>0</v>
      </c>
      <c r="N48" s="60">
        <f>O48+P48</f>
        <v>0</v>
      </c>
      <c r="O48" s="77">
        <v>0</v>
      </c>
      <c r="P48" s="77">
        <v>0</v>
      </c>
      <c r="Q48" s="60">
        <v>0</v>
      </c>
    </row>
    <row r="49" spans="1:17" s="76" customFormat="1" ht="28.5" x14ac:dyDescent="0.35">
      <c r="A49" s="214"/>
      <c r="B49" s="215"/>
      <c r="C49" s="63"/>
      <c r="D49" s="19"/>
      <c r="E49" s="64"/>
      <c r="F49" s="66" t="s">
        <v>37</v>
      </c>
      <c r="G49" s="67">
        <f t="shared" si="9"/>
        <v>249050000</v>
      </c>
      <c r="H49" s="67">
        <f>K49+O49</f>
        <v>230390000</v>
      </c>
      <c r="I49" s="67">
        <f>L49+P49</f>
        <v>18660000</v>
      </c>
      <c r="J49" s="67">
        <f>K49+L49</f>
        <v>249050000</v>
      </c>
      <c r="K49" s="67">
        <f>249050000-18660000</f>
        <v>230390000</v>
      </c>
      <c r="L49" s="67">
        <f>20000000-1340000</f>
        <v>18660000</v>
      </c>
      <c r="M49" s="68">
        <f>M48</f>
        <v>0</v>
      </c>
      <c r="N49" s="67">
        <f>O49+P49</f>
        <v>0</v>
      </c>
      <c r="O49" s="68">
        <f>O48</f>
        <v>0</v>
      </c>
      <c r="P49" s="68">
        <f>P48</f>
        <v>0</v>
      </c>
      <c r="Q49" s="68">
        <f>Q48</f>
        <v>0</v>
      </c>
    </row>
    <row r="50" spans="1:17" ht="28.5" x14ac:dyDescent="0.35">
      <c r="A50" s="214" t="s">
        <v>60</v>
      </c>
      <c r="B50" s="215" t="s">
        <v>61</v>
      </c>
      <c r="C50" s="56">
        <f>C51</f>
        <v>69285312</v>
      </c>
      <c r="D50" s="57">
        <f>D51</f>
        <v>0</v>
      </c>
      <c r="E50" s="58">
        <f>E51</f>
        <v>0</v>
      </c>
      <c r="F50" s="59" t="s">
        <v>62</v>
      </c>
      <c r="G50" s="58">
        <f t="shared" si="9"/>
        <v>110585312</v>
      </c>
      <c r="H50" s="58">
        <f t="shared" ref="H50:I53" si="29">K50+O50</f>
        <v>104485312</v>
      </c>
      <c r="I50" s="58">
        <f t="shared" si="29"/>
        <v>6100000</v>
      </c>
      <c r="J50" s="58">
        <f>J51</f>
        <v>110585312</v>
      </c>
      <c r="K50" s="58">
        <f t="shared" ref="K50:Q50" si="30">K51</f>
        <v>104485312</v>
      </c>
      <c r="L50" s="58">
        <f t="shared" si="30"/>
        <v>6100000</v>
      </c>
      <c r="M50" s="58">
        <f t="shared" si="30"/>
        <v>0</v>
      </c>
      <c r="N50" s="58">
        <f t="shared" si="30"/>
        <v>0</v>
      </c>
      <c r="O50" s="58">
        <f t="shared" si="30"/>
        <v>0</v>
      </c>
      <c r="P50" s="58">
        <f t="shared" si="30"/>
        <v>0</v>
      </c>
      <c r="Q50" s="58">
        <f t="shared" si="30"/>
        <v>0</v>
      </c>
    </row>
    <row r="51" spans="1:17" ht="28.5" x14ac:dyDescent="0.35">
      <c r="A51" s="214"/>
      <c r="B51" s="215"/>
      <c r="C51" s="69">
        <f>G53+G54</f>
        <v>69285312</v>
      </c>
      <c r="D51" s="60">
        <v>0</v>
      </c>
      <c r="E51" s="60">
        <v>0</v>
      </c>
      <c r="F51" s="61" t="s">
        <v>36</v>
      </c>
      <c r="G51" s="60">
        <f>J51+M51+N51+Q51</f>
        <v>110585312</v>
      </c>
      <c r="H51" s="60">
        <f t="shared" si="29"/>
        <v>104485312</v>
      </c>
      <c r="I51" s="60">
        <f t="shared" si="29"/>
        <v>6100000</v>
      </c>
      <c r="J51" s="60">
        <f>J52+J53+J54</f>
        <v>110585312</v>
      </c>
      <c r="K51" s="60">
        <f t="shared" ref="K51:Q51" si="31">K52+K53+K54</f>
        <v>104485312</v>
      </c>
      <c r="L51" s="60">
        <f t="shared" si="31"/>
        <v>6100000</v>
      </c>
      <c r="M51" s="60">
        <f t="shared" si="31"/>
        <v>0</v>
      </c>
      <c r="N51" s="60">
        <f t="shared" si="31"/>
        <v>0</v>
      </c>
      <c r="O51" s="60">
        <f t="shared" si="31"/>
        <v>0</v>
      </c>
      <c r="P51" s="60">
        <f t="shared" si="31"/>
        <v>0</v>
      </c>
      <c r="Q51" s="60">
        <f t="shared" si="31"/>
        <v>0</v>
      </c>
    </row>
    <row r="52" spans="1:17" ht="28.5" x14ac:dyDescent="0.35">
      <c r="A52" s="214"/>
      <c r="B52" s="215"/>
      <c r="C52" s="78"/>
      <c r="D52" s="78"/>
      <c r="E52" s="79"/>
      <c r="F52" s="66" t="s">
        <v>37</v>
      </c>
      <c r="G52" s="67">
        <f>J52+M52+N52+Q52</f>
        <v>41300000</v>
      </c>
      <c r="H52" s="67">
        <f t="shared" si="29"/>
        <v>40000000</v>
      </c>
      <c r="I52" s="67">
        <f t="shared" si="29"/>
        <v>1300000</v>
      </c>
      <c r="J52" s="67">
        <f>K52+L52</f>
        <v>41300000</v>
      </c>
      <c r="K52" s="67">
        <v>40000000</v>
      </c>
      <c r="L52" s="67">
        <v>1300000</v>
      </c>
      <c r="M52" s="68">
        <v>0</v>
      </c>
      <c r="N52" s="67">
        <f>O52+P52</f>
        <v>0</v>
      </c>
      <c r="O52" s="68">
        <v>0</v>
      </c>
      <c r="P52" s="68">
        <v>0</v>
      </c>
      <c r="Q52" s="68">
        <v>0</v>
      </c>
    </row>
    <row r="53" spans="1:17" ht="28.5" x14ac:dyDescent="0.35">
      <c r="A53" s="214"/>
      <c r="B53" s="215"/>
      <c r="C53" s="78"/>
      <c r="D53" s="78"/>
      <c r="E53" s="79"/>
      <c r="F53" s="66" t="s">
        <v>38</v>
      </c>
      <c r="G53" s="71">
        <f>J53+M53+N53+Q53</f>
        <v>12868161</v>
      </c>
      <c r="H53" s="71">
        <f t="shared" si="29"/>
        <v>12568161</v>
      </c>
      <c r="I53" s="71">
        <f t="shared" si="29"/>
        <v>300000</v>
      </c>
      <c r="J53" s="71">
        <f>K53+L53</f>
        <v>12868161</v>
      </c>
      <c r="K53" s="71">
        <f>14000000-1256839-600000+425000</f>
        <v>12568161</v>
      </c>
      <c r="L53" s="71">
        <f>1500000-1200000</f>
        <v>300000</v>
      </c>
      <c r="M53" s="71">
        <v>0</v>
      </c>
      <c r="N53" s="71">
        <f>O53+P53</f>
        <v>0</v>
      </c>
      <c r="O53" s="71">
        <v>0</v>
      </c>
      <c r="P53" s="71">
        <v>0</v>
      </c>
      <c r="Q53" s="71">
        <v>0</v>
      </c>
    </row>
    <row r="54" spans="1:17" ht="28.5" x14ac:dyDescent="0.35">
      <c r="A54" s="214"/>
      <c r="B54" s="215"/>
      <c r="C54" s="78"/>
      <c r="D54" s="78"/>
      <c r="E54" s="79"/>
      <c r="F54" s="66" t="s">
        <v>39</v>
      </c>
      <c r="G54" s="71">
        <f>J54+M54+N54+Q54</f>
        <v>56417151</v>
      </c>
      <c r="H54" s="71">
        <f>K54+N54+O54+R54</f>
        <v>51917151</v>
      </c>
      <c r="I54" s="71">
        <f>L54+O54+P54+S54</f>
        <v>4500000</v>
      </c>
      <c r="J54" s="71">
        <f>K54+L54</f>
        <v>56417151</v>
      </c>
      <c r="K54" s="71">
        <f>45000000+508779+2212+607971+2643+5539+813235+4623+1366403+5941+17276+896842+786546+3420+3063+1119360+4867+1143015+4970+45446-425000</f>
        <v>51917151</v>
      </c>
      <c r="L54" s="71">
        <v>4500000</v>
      </c>
      <c r="M54" s="71">
        <v>0</v>
      </c>
      <c r="N54" s="71">
        <f>O54+P54</f>
        <v>0</v>
      </c>
      <c r="O54" s="71">
        <v>0</v>
      </c>
      <c r="P54" s="71">
        <v>0</v>
      </c>
      <c r="Q54" s="71">
        <v>0</v>
      </c>
    </row>
    <row r="55" spans="1:17" s="55" customFormat="1" ht="78" x14ac:dyDescent="0.35">
      <c r="A55" s="50" t="s">
        <v>63</v>
      </c>
      <c r="B55" s="51" t="s">
        <v>64</v>
      </c>
      <c r="C55" s="52">
        <f>C56+C60+C63</f>
        <v>0</v>
      </c>
      <c r="D55" s="52">
        <f>D56+D60+D63</f>
        <v>0</v>
      </c>
      <c r="E55" s="53">
        <f>E56+E60+E63</f>
        <v>111000000</v>
      </c>
      <c r="F55" s="54" t="s">
        <v>65</v>
      </c>
      <c r="G55" s="52">
        <f t="shared" ref="G55:I76" si="32">J55+M55+N55+Q55</f>
        <v>212800000</v>
      </c>
      <c r="H55" s="52">
        <f t="shared" si="32"/>
        <v>193384426</v>
      </c>
      <c r="I55" s="52">
        <f t="shared" si="32"/>
        <v>19415574</v>
      </c>
      <c r="J55" s="52">
        <f>J56+J60+J63</f>
        <v>212800000</v>
      </c>
      <c r="K55" s="52">
        <f t="shared" ref="K55:Q55" si="33">K56+K60+K63</f>
        <v>193384426</v>
      </c>
      <c r="L55" s="52">
        <f t="shared" si="33"/>
        <v>19415574</v>
      </c>
      <c r="M55" s="52">
        <f t="shared" si="33"/>
        <v>0</v>
      </c>
      <c r="N55" s="52">
        <f t="shared" si="33"/>
        <v>0</v>
      </c>
      <c r="O55" s="52">
        <f t="shared" si="33"/>
        <v>0</v>
      </c>
      <c r="P55" s="52">
        <f t="shared" si="33"/>
        <v>0</v>
      </c>
      <c r="Q55" s="52">
        <f t="shared" si="33"/>
        <v>0</v>
      </c>
    </row>
    <row r="56" spans="1:17" ht="28.5" x14ac:dyDescent="0.35">
      <c r="A56" s="214" t="s">
        <v>66</v>
      </c>
      <c r="B56" s="215" t="s">
        <v>67</v>
      </c>
      <c r="C56" s="56">
        <f>C57</f>
        <v>0</v>
      </c>
      <c r="D56" s="57">
        <f>D57</f>
        <v>0</v>
      </c>
      <c r="E56" s="58">
        <f>E57</f>
        <v>111000000</v>
      </c>
      <c r="F56" s="59" t="s">
        <v>68</v>
      </c>
      <c r="G56" s="58">
        <f t="shared" si="32"/>
        <v>186300000</v>
      </c>
      <c r="H56" s="58">
        <f t="shared" si="32"/>
        <v>171884426</v>
      </c>
      <c r="I56" s="58">
        <f t="shared" si="32"/>
        <v>14415574</v>
      </c>
      <c r="J56" s="58">
        <f>J57</f>
        <v>186300000</v>
      </c>
      <c r="K56" s="58">
        <f t="shared" ref="K56:Q56" si="34">K57</f>
        <v>171884426</v>
      </c>
      <c r="L56" s="58">
        <f t="shared" si="34"/>
        <v>14415574</v>
      </c>
      <c r="M56" s="58">
        <f t="shared" si="34"/>
        <v>0</v>
      </c>
      <c r="N56" s="58">
        <f t="shared" si="34"/>
        <v>0</v>
      </c>
      <c r="O56" s="58">
        <f t="shared" si="34"/>
        <v>0</v>
      </c>
      <c r="P56" s="58">
        <f t="shared" si="34"/>
        <v>0</v>
      </c>
      <c r="Q56" s="58">
        <f t="shared" si="34"/>
        <v>0</v>
      </c>
    </row>
    <row r="57" spans="1:17" ht="28.5" x14ac:dyDescent="0.35">
      <c r="A57" s="214"/>
      <c r="B57" s="215"/>
      <c r="C57" s="60">
        <v>0</v>
      </c>
      <c r="D57" s="60">
        <v>0</v>
      </c>
      <c r="E57" s="72">
        <f>G59</f>
        <v>111000000</v>
      </c>
      <c r="F57" s="61" t="s">
        <v>40</v>
      </c>
      <c r="G57" s="60">
        <f t="shared" si="32"/>
        <v>186300000</v>
      </c>
      <c r="H57" s="60">
        <f t="shared" si="32"/>
        <v>171884426</v>
      </c>
      <c r="I57" s="60">
        <f t="shared" si="32"/>
        <v>14415574</v>
      </c>
      <c r="J57" s="60">
        <f>J58+J59</f>
        <v>186300000</v>
      </c>
      <c r="K57" s="60">
        <f t="shared" ref="K57:Q57" si="35">K58+K59</f>
        <v>171884426</v>
      </c>
      <c r="L57" s="60">
        <f t="shared" si="35"/>
        <v>14415574</v>
      </c>
      <c r="M57" s="60">
        <f t="shared" si="35"/>
        <v>0</v>
      </c>
      <c r="N57" s="60">
        <f t="shared" si="35"/>
        <v>0</v>
      </c>
      <c r="O57" s="60">
        <f t="shared" si="35"/>
        <v>0</v>
      </c>
      <c r="P57" s="60">
        <f t="shared" si="35"/>
        <v>0</v>
      </c>
      <c r="Q57" s="60">
        <f t="shared" si="35"/>
        <v>0</v>
      </c>
    </row>
    <row r="58" spans="1:17" ht="28.5" x14ac:dyDescent="0.35">
      <c r="A58" s="214"/>
      <c r="B58" s="215"/>
      <c r="C58" s="63"/>
      <c r="D58" s="78"/>
      <c r="E58" s="19"/>
      <c r="F58" s="66" t="s">
        <v>41</v>
      </c>
      <c r="G58" s="67">
        <f t="shared" si="32"/>
        <v>75300000</v>
      </c>
      <c r="H58" s="67">
        <f t="shared" si="32"/>
        <v>71384426</v>
      </c>
      <c r="I58" s="67">
        <f t="shared" si="32"/>
        <v>3915574</v>
      </c>
      <c r="J58" s="67">
        <f>K58+L58</f>
        <v>75300000</v>
      </c>
      <c r="K58" s="67">
        <f>18384426+53000000</f>
        <v>71384426</v>
      </c>
      <c r="L58" s="67">
        <v>3915574</v>
      </c>
      <c r="M58" s="68">
        <v>0</v>
      </c>
      <c r="N58" s="68">
        <f>O58+P58</f>
        <v>0</v>
      </c>
      <c r="O58" s="68">
        <v>0</v>
      </c>
      <c r="P58" s="68">
        <v>0</v>
      </c>
      <c r="Q58" s="68">
        <v>0</v>
      </c>
    </row>
    <row r="59" spans="1:17" ht="28.5" x14ac:dyDescent="0.35">
      <c r="A59" s="214"/>
      <c r="B59" s="215"/>
      <c r="C59" s="63"/>
      <c r="D59" s="78"/>
      <c r="E59" s="19"/>
      <c r="F59" s="66" t="s">
        <v>42</v>
      </c>
      <c r="G59" s="74">
        <f t="shared" si="32"/>
        <v>111000000</v>
      </c>
      <c r="H59" s="74">
        <f t="shared" si="32"/>
        <v>100500000</v>
      </c>
      <c r="I59" s="74">
        <f t="shared" si="32"/>
        <v>10500000</v>
      </c>
      <c r="J59" s="74">
        <f>K59+L59</f>
        <v>111000000</v>
      </c>
      <c r="K59" s="74">
        <f>153500000-53000000</f>
        <v>100500000</v>
      </c>
      <c r="L59" s="74">
        <v>10500000</v>
      </c>
      <c r="M59" s="74">
        <v>0</v>
      </c>
      <c r="N59" s="74">
        <f>O59+P59</f>
        <v>0</v>
      </c>
      <c r="O59" s="74">
        <v>0</v>
      </c>
      <c r="P59" s="74">
        <v>0</v>
      </c>
      <c r="Q59" s="74">
        <v>0</v>
      </c>
    </row>
    <row r="60" spans="1:17" ht="28.5" x14ac:dyDescent="0.35">
      <c r="A60" s="214" t="s">
        <v>69</v>
      </c>
      <c r="B60" s="215" t="s">
        <v>70</v>
      </c>
      <c r="C60" s="56">
        <f>C61</f>
        <v>0</v>
      </c>
      <c r="D60" s="57">
        <f>D61</f>
        <v>0</v>
      </c>
      <c r="E60" s="58">
        <f>E61</f>
        <v>0</v>
      </c>
      <c r="F60" s="59" t="s">
        <v>71</v>
      </c>
      <c r="G60" s="58">
        <f t="shared" si="32"/>
        <v>17000000</v>
      </c>
      <c r="H60" s="58">
        <f t="shared" si="32"/>
        <v>14000000</v>
      </c>
      <c r="I60" s="58">
        <f t="shared" si="32"/>
        <v>3000000</v>
      </c>
      <c r="J60" s="58">
        <f>J61</f>
        <v>17000000</v>
      </c>
      <c r="K60" s="58">
        <f t="shared" ref="K60:Q61" si="36">K61</f>
        <v>14000000</v>
      </c>
      <c r="L60" s="58">
        <f t="shared" si="36"/>
        <v>3000000</v>
      </c>
      <c r="M60" s="58">
        <f t="shared" si="36"/>
        <v>0</v>
      </c>
      <c r="N60" s="58">
        <f t="shared" si="36"/>
        <v>0</v>
      </c>
      <c r="O60" s="58">
        <f t="shared" si="36"/>
        <v>0</v>
      </c>
      <c r="P60" s="58">
        <f t="shared" si="36"/>
        <v>0</v>
      </c>
      <c r="Q60" s="58">
        <f t="shared" si="36"/>
        <v>0</v>
      </c>
    </row>
    <row r="61" spans="1:17" ht="28.5" x14ac:dyDescent="0.35">
      <c r="A61" s="214"/>
      <c r="B61" s="215"/>
      <c r="C61" s="60">
        <v>0</v>
      </c>
      <c r="D61" s="60">
        <v>0</v>
      </c>
      <c r="E61" s="60">
        <v>0</v>
      </c>
      <c r="F61" s="61" t="s">
        <v>40</v>
      </c>
      <c r="G61" s="60">
        <f t="shared" si="32"/>
        <v>17000000</v>
      </c>
      <c r="H61" s="60">
        <f t="shared" si="32"/>
        <v>14000000</v>
      </c>
      <c r="I61" s="60">
        <f t="shared" si="32"/>
        <v>3000000</v>
      </c>
      <c r="J61" s="60">
        <f>J62</f>
        <v>17000000</v>
      </c>
      <c r="K61" s="60">
        <f t="shared" si="36"/>
        <v>14000000</v>
      </c>
      <c r="L61" s="60">
        <f t="shared" si="36"/>
        <v>3000000</v>
      </c>
      <c r="M61" s="60">
        <f t="shared" si="36"/>
        <v>0</v>
      </c>
      <c r="N61" s="60">
        <f t="shared" si="36"/>
        <v>0</v>
      </c>
      <c r="O61" s="60">
        <f t="shared" si="36"/>
        <v>0</v>
      </c>
      <c r="P61" s="60">
        <f t="shared" si="36"/>
        <v>0</v>
      </c>
      <c r="Q61" s="60">
        <f t="shared" si="36"/>
        <v>0</v>
      </c>
    </row>
    <row r="62" spans="1:17" ht="28.5" x14ac:dyDescent="0.35">
      <c r="A62" s="214"/>
      <c r="B62" s="215"/>
      <c r="C62" s="63"/>
      <c r="D62" s="78"/>
      <c r="E62" s="19"/>
      <c r="F62" s="66" t="s">
        <v>41</v>
      </c>
      <c r="G62" s="67">
        <f t="shared" si="32"/>
        <v>17000000</v>
      </c>
      <c r="H62" s="67">
        <f t="shared" si="32"/>
        <v>14000000</v>
      </c>
      <c r="I62" s="67">
        <f t="shared" si="32"/>
        <v>3000000</v>
      </c>
      <c r="J62" s="67">
        <f>K62+L62</f>
        <v>17000000</v>
      </c>
      <c r="K62" s="67">
        <v>14000000</v>
      </c>
      <c r="L62" s="67">
        <v>3000000</v>
      </c>
      <c r="M62" s="68">
        <v>0</v>
      </c>
      <c r="N62" s="68">
        <f>O62+P62</f>
        <v>0</v>
      </c>
      <c r="O62" s="68">
        <v>0</v>
      </c>
      <c r="P62" s="68">
        <v>0</v>
      </c>
      <c r="Q62" s="68">
        <v>0</v>
      </c>
    </row>
    <row r="63" spans="1:17" ht="28.5" x14ac:dyDescent="0.35">
      <c r="A63" s="214" t="s">
        <v>72</v>
      </c>
      <c r="B63" s="215" t="s">
        <v>73</v>
      </c>
      <c r="C63" s="56">
        <f>C64</f>
        <v>0</v>
      </c>
      <c r="D63" s="57">
        <f>D64</f>
        <v>0</v>
      </c>
      <c r="E63" s="58">
        <f>E64</f>
        <v>0</v>
      </c>
      <c r="F63" s="59" t="s">
        <v>74</v>
      </c>
      <c r="G63" s="58">
        <f t="shared" si="32"/>
        <v>9500000</v>
      </c>
      <c r="H63" s="58">
        <f t="shared" si="32"/>
        <v>7500000</v>
      </c>
      <c r="I63" s="58">
        <f t="shared" si="32"/>
        <v>2000000</v>
      </c>
      <c r="J63" s="58">
        <f>J64</f>
        <v>9500000</v>
      </c>
      <c r="K63" s="58">
        <f t="shared" ref="K63:Q64" si="37">K64</f>
        <v>7500000</v>
      </c>
      <c r="L63" s="58">
        <f t="shared" si="37"/>
        <v>2000000</v>
      </c>
      <c r="M63" s="58">
        <f t="shared" si="37"/>
        <v>0</v>
      </c>
      <c r="N63" s="58">
        <f t="shared" si="37"/>
        <v>0</v>
      </c>
      <c r="O63" s="58">
        <f t="shared" si="37"/>
        <v>0</v>
      </c>
      <c r="P63" s="58">
        <f t="shared" si="37"/>
        <v>0</v>
      </c>
      <c r="Q63" s="58">
        <f t="shared" si="37"/>
        <v>0</v>
      </c>
    </row>
    <row r="64" spans="1:17" ht="28.5" x14ac:dyDescent="0.35">
      <c r="A64" s="214"/>
      <c r="B64" s="215"/>
      <c r="C64" s="60">
        <v>0</v>
      </c>
      <c r="D64" s="60">
        <v>0</v>
      </c>
      <c r="E64" s="60">
        <v>0</v>
      </c>
      <c r="F64" s="61" t="s">
        <v>40</v>
      </c>
      <c r="G64" s="60">
        <f t="shared" si="32"/>
        <v>9500000</v>
      </c>
      <c r="H64" s="60">
        <f t="shared" si="32"/>
        <v>7500000</v>
      </c>
      <c r="I64" s="60">
        <f t="shared" si="32"/>
        <v>2000000</v>
      </c>
      <c r="J64" s="60">
        <f>J65</f>
        <v>9500000</v>
      </c>
      <c r="K64" s="60">
        <f t="shared" si="37"/>
        <v>7500000</v>
      </c>
      <c r="L64" s="60">
        <f t="shared" si="37"/>
        <v>2000000</v>
      </c>
      <c r="M64" s="60">
        <f t="shared" si="37"/>
        <v>0</v>
      </c>
      <c r="N64" s="60">
        <f t="shared" si="37"/>
        <v>0</v>
      </c>
      <c r="O64" s="60">
        <f t="shared" si="37"/>
        <v>0</v>
      </c>
      <c r="P64" s="60">
        <f t="shared" si="37"/>
        <v>0</v>
      </c>
      <c r="Q64" s="60">
        <f t="shared" si="37"/>
        <v>0</v>
      </c>
    </row>
    <row r="65" spans="1:17" ht="28.5" x14ac:dyDescent="0.35">
      <c r="A65" s="214"/>
      <c r="B65" s="215"/>
      <c r="C65" s="63"/>
      <c r="D65" s="78"/>
      <c r="E65" s="19"/>
      <c r="F65" s="66" t="s">
        <v>41</v>
      </c>
      <c r="G65" s="67">
        <f t="shared" si="32"/>
        <v>9500000</v>
      </c>
      <c r="H65" s="67">
        <f t="shared" si="32"/>
        <v>7500000</v>
      </c>
      <c r="I65" s="67">
        <f t="shared" si="32"/>
        <v>2000000</v>
      </c>
      <c r="J65" s="67">
        <f>K65+L65</f>
        <v>9500000</v>
      </c>
      <c r="K65" s="67">
        <v>7500000</v>
      </c>
      <c r="L65" s="67">
        <v>2000000</v>
      </c>
      <c r="M65" s="68">
        <v>0</v>
      </c>
      <c r="N65" s="68">
        <f>O65+P65</f>
        <v>0</v>
      </c>
      <c r="O65" s="68">
        <v>0</v>
      </c>
      <c r="P65" s="68">
        <v>0</v>
      </c>
      <c r="Q65" s="68">
        <v>0</v>
      </c>
    </row>
    <row r="66" spans="1:17" s="75" customFormat="1" ht="52" x14ac:dyDescent="0.35">
      <c r="A66" s="50" t="s">
        <v>75</v>
      </c>
      <c r="B66" s="51" t="s">
        <v>76</v>
      </c>
      <c r="C66" s="52">
        <f>C67+C74</f>
        <v>56800512</v>
      </c>
      <c r="D66" s="52">
        <f>D67+D74</f>
        <v>0</v>
      </c>
      <c r="E66" s="53">
        <f>E67+E74</f>
        <v>0</v>
      </c>
      <c r="F66" s="54" t="s">
        <v>77</v>
      </c>
      <c r="G66" s="52">
        <f t="shared" si="32"/>
        <v>213868113</v>
      </c>
      <c r="H66" s="52">
        <f t="shared" si="32"/>
        <v>190565113</v>
      </c>
      <c r="I66" s="52">
        <f t="shared" si="32"/>
        <v>23303000</v>
      </c>
      <c r="J66" s="52">
        <f>J67+J74</f>
        <v>213868113</v>
      </c>
      <c r="K66" s="52">
        <f t="shared" ref="K66:Q66" si="38">K67+K74</f>
        <v>190565113</v>
      </c>
      <c r="L66" s="52">
        <f t="shared" si="38"/>
        <v>23303000</v>
      </c>
      <c r="M66" s="52">
        <f t="shared" si="38"/>
        <v>0</v>
      </c>
      <c r="N66" s="52">
        <f t="shared" si="38"/>
        <v>0</v>
      </c>
      <c r="O66" s="52">
        <f t="shared" si="38"/>
        <v>0</v>
      </c>
      <c r="P66" s="52">
        <f t="shared" si="38"/>
        <v>0</v>
      </c>
      <c r="Q66" s="52">
        <f t="shared" si="38"/>
        <v>0</v>
      </c>
    </row>
    <row r="67" spans="1:17" ht="28.5" customHeight="1" x14ac:dyDescent="0.35">
      <c r="A67" s="214" t="s">
        <v>78</v>
      </c>
      <c r="B67" s="215" t="s">
        <v>79</v>
      </c>
      <c r="C67" s="56">
        <f>C68+C70</f>
        <v>56800512</v>
      </c>
      <c r="D67" s="57">
        <f>D68+D70</f>
        <v>0</v>
      </c>
      <c r="E67" s="58">
        <f>E68+E70</f>
        <v>0</v>
      </c>
      <c r="F67" s="59" t="s">
        <v>80</v>
      </c>
      <c r="G67" s="58">
        <f t="shared" si="32"/>
        <v>183868113</v>
      </c>
      <c r="H67" s="58">
        <f t="shared" si="32"/>
        <v>167265113</v>
      </c>
      <c r="I67" s="58">
        <f t="shared" si="32"/>
        <v>16603000</v>
      </c>
      <c r="J67" s="58">
        <f>J68+J70</f>
        <v>183868113</v>
      </c>
      <c r="K67" s="58">
        <f>K68+K70</f>
        <v>167265113</v>
      </c>
      <c r="L67" s="58">
        <f>L68+L70</f>
        <v>16603000</v>
      </c>
      <c r="M67" s="58">
        <f>SUM(M68:M70)</f>
        <v>0</v>
      </c>
      <c r="N67" s="58">
        <f>SUM(N68:N70)</f>
        <v>0</v>
      </c>
      <c r="O67" s="58">
        <f>O68+O70</f>
        <v>0</v>
      </c>
      <c r="P67" s="58">
        <f>P68+P70</f>
        <v>0</v>
      </c>
      <c r="Q67" s="58">
        <v>0</v>
      </c>
    </row>
    <row r="68" spans="1:17" ht="28.5" x14ac:dyDescent="0.35">
      <c r="A68" s="214"/>
      <c r="B68" s="215"/>
      <c r="C68" s="60">
        <v>0</v>
      </c>
      <c r="D68" s="60">
        <v>0</v>
      </c>
      <c r="E68" s="60">
        <v>0</v>
      </c>
      <c r="F68" s="61" t="s">
        <v>34</v>
      </c>
      <c r="G68" s="60">
        <f t="shared" si="32"/>
        <v>127067601</v>
      </c>
      <c r="H68" s="60">
        <f t="shared" si="32"/>
        <v>121664601</v>
      </c>
      <c r="I68" s="60">
        <f t="shared" si="32"/>
        <v>5403000</v>
      </c>
      <c r="J68" s="60">
        <f>J69</f>
        <v>127067601</v>
      </c>
      <c r="K68" s="60">
        <f t="shared" ref="K68:Q68" si="39">K69</f>
        <v>121664601</v>
      </c>
      <c r="L68" s="60">
        <f t="shared" si="39"/>
        <v>5403000</v>
      </c>
      <c r="M68" s="60">
        <f t="shared" si="39"/>
        <v>0</v>
      </c>
      <c r="N68" s="60">
        <f t="shared" si="39"/>
        <v>0</v>
      </c>
      <c r="O68" s="60">
        <f t="shared" si="39"/>
        <v>0</v>
      </c>
      <c r="P68" s="60">
        <f t="shared" si="39"/>
        <v>0</v>
      </c>
      <c r="Q68" s="60">
        <f t="shared" si="39"/>
        <v>0</v>
      </c>
    </row>
    <row r="69" spans="1:17" ht="28.5" x14ac:dyDescent="0.35">
      <c r="A69" s="214"/>
      <c r="B69" s="215"/>
      <c r="C69" s="80"/>
      <c r="D69" s="64"/>
      <c r="E69" s="64"/>
      <c r="F69" s="66" t="s">
        <v>35</v>
      </c>
      <c r="G69" s="67">
        <f t="shared" si="32"/>
        <v>127067601</v>
      </c>
      <c r="H69" s="67">
        <f t="shared" si="32"/>
        <v>121664601</v>
      </c>
      <c r="I69" s="67">
        <f t="shared" si="32"/>
        <v>5403000</v>
      </c>
      <c r="J69" s="67">
        <f>K69+L69</f>
        <v>127067601</v>
      </c>
      <c r="K69" s="67">
        <f>138100000-16435399</f>
        <v>121664601</v>
      </c>
      <c r="L69" s="67">
        <f>9000000-3597000</f>
        <v>5403000</v>
      </c>
      <c r="M69" s="68">
        <v>0</v>
      </c>
      <c r="N69" s="68">
        <f>O69+P69</f>
        <v>0</v>
      </c>
      <c r="O69" s="68">
        <v>0</v>
      </c>
      <c r="P69" s="68">
        <v>0</v>
      </c>
      <c r="Q69" s="68">
        <v>0</v>
      </c>
    </row>
    <row r="70" spans="1:17" ht="28.5" x14ac:dyDescent="0.35">
      <c r="A70" s="214"/>
      <c r="B70" s="215"/>
      <c r="C70" s="69">
        <f>G72+G73</f>
        <v>56800512</v>
      </c>
      <c r="D70" s="60">
        <v>0</v>
      </c>
      <c r="E70" s="60">
        <v>0</v>
      </c>
      <c r="F70" s="61" t="s">
        <v>36</v>
      </c>
      <c r="G70" s="60">
        <f t="shared" si="32"/>
        <v>56800512</v>
      </c>
      <c r="H70" s="60">
        <f t="shared" si="32"/>
        <v>45600512</v>
      </c>
      <c r="I70" s="60">
        <f t="shared" si="32"/>
        <v>11200000</v>
      </c>
      <c r="J70" s="60">
        <f>J71+J72+J73</f>
        <v>56800512</v>
      </c>
      <c r="K70" s="60">
        <f t="shared" ref="K70:Q70" si="40">K71+K72+K73</f>
        <v>45600512</v>
      </c>
      <c r="L70" s="60">
        <f t="shared" si="40"/>
        <v>11200000</v>
      </c>
      <c r="M70" s="60">
        <f t="shared" si="40"/>
        <v>0</v>
      </c>
      <c r="N70" s="60">
        <f t="shared" si="40"/>
        <v>0</v>
      </c>
      <c r="O70" s="60">
        <f t="shared" si="40"/>
        <v>0</v>
      </c>
      <c r="P70" s="60">
        <f t="shared" si="40"/>
        <v>0</v>
      </c>
      <c r="Q70" s="60">
        <f t="shared" si="40"/>
        <v>0</v>
      </c>
    </row>
    <row r="71" spans="1:17" ht="28.5" x14ac:dyDescent="0.35">
      <c r="A71" s="214"/>
      <c r="B71" s="215"/>
      <c r="C71" s="79"/>
      <c r="D71" s="64"/>
      <c r="E71" s="64"/>
      <c r="F71" s="66" t="s">
        <v>37</v>
      </c>
      <c r="G71" s="67">
        <f t="shared" si="32"/>
        <v>0</v>
      </c>
      <c r="H71" s="67">
        <f t="shared" si="32"/>
        <v>0</v>
      </c>
      <c r="I71" s="67">
        <f t="shared" si="32"/>
        <v>0</v>
      </c>
      <c r="J71" s="67">
        <f>K71+L71</f>
        <v>0</v>
      </c>
      <c r="K71" s="67">
        <v>0</v>
      </c>
      <c r="L71" s="67">
        <v>0</v>
      </c>
      <c r="M71" s="68">
        <v>0</v>
      </c>
      <c r="N71" s="68">
        <f>O71+P71</f>
        <v>0</v>
      </c>
      <c r="O71" s="68">
        <v>0</v>
      </c>
      <c r="P71" s="68">
        <v>0</v>
      </c>
      <c r="Q71" s="68">
        <v>0</v>
      </c>
    </row>
    <row r="72" spans="1:17" ht="28.5" x14ac:dyDescent="0.35">
      <c r="A72" s="214"/>
      <c r="B72" s="215"/>
      <c r="C72" s="79"/>
      <c r="D72" s="64"/>
      <c r="E72" s="64"/>
      <c r="F72" s="66" t="s">
        <v>38</v>
      </c>
      <c r="G72" s="71">
        <f t="shared" si="32"/>
        <v>56800512</v>
      </c>
      <c r="H72" s="71">
        <f t="shared" si="32"/>
        <v>45600512</v>
      </c>
      <c r="I72" s="71">
        <f t="shared" si="32"/>
        <v>11200000</v>
      </c>
      <c r="J72" s="71">
        <f>K72+L72</f>
        <v>56800512</v>
      </c>
      <c r="K72" s="71">
        <f>29900000+3838559+1256839+1000000+600000+6805114+2200000</f>
        <v>45600512</v>
      </c>
      <c r="L72" s="71">
        <f>10000000+1200000</f>
        <v>11200000</v>
      </c>
      <c r="M72" s="71">
        <v>0</v>
      </c>
      <c r="N72" s="71">
        <f>O72+P72</f>
        <v>0</v>
      </c>
      <c r="O72" s="71">
        <v>0</v>
      </c>
      <c r="P72" s="71">
        <v>0</v>
      </c>
      <c r="Q72" s="71">
        <v>0</v>
      </c>
    </row>
    <row r="73" spans="1:17" ht="28.5" x14ac:dyDescent="0.35">
      <c r="A73" s="214"/>
      <c r="B73" s="215"/>
      <c r="C73" s="79"/>
      <c r="D73" s="64"/>
      <c r="E73" s="64"/>
      <c r="F73" s="66" t="s">
        <v>39</v>
      </c>
      <c r="G73" s="71">
        <f t="shared" si="32"/>
        <v>0</v>
      </c>
      <c r="H73" s="71">
        <f t="shared" si="32"/>
        <v>0</v>
      </c>
      <c r="I73" s="71">
        <f t="shared" si="32"/>
        <v>0</v>
      </c>
      <c r="J73" s="71">
        <f>K73+L73</f>
        <v>0</v>
      </c>
      <c r="K73" s="71">
        <f>100000-2212-2643-5539-4623-5941-17276-3420-3063-4867-4970-45446</f>
        <v>0</v>
      </c>
      <c r="L73" s="71">
        <v>0</v>
      </c>
      <c r="M73" s="71">
        <v>0</v>
      </c>
      <c r="N73" s="71">
        <f>O73+P73</f>
        <v>0</v>
      </c>
      <c r="O73" s="71">
        <v>0</v>
      </c>
      <c r="P73" s="71">
        <v>0</v>
      </c>
      <c r="Q73" s="71">
        <v>0</v>
      </c>
    </row>
    <row r="74" spans="1:17" s="76" customFormat="1" ht="28" customHeight="1" x14ac:dyDescent="0.35">
      <c r="A74" s="214" t="s">
        <v>81</v>
      </c>
      <c r="B74" s="215" t="s">
        <v>82</v>
      </c>
      <c r="C74" s="56">
        <f>C75</f>
        <v>0</v>
      </c>
      <c r="D74" s="57">
        <f>D75</f>
        <v>0</v>
      </c>
      <c r="E74" s="58">
        <f>E75</f>
        <v>0</v>
      </c>
      <c r="F74" s="59" t="s">
        <v>83</v>
      </c>
      <c r="G74" s="58">
        <f t="shared" si="32"/>
        <v>30000000</v>
      </c>
      <c r="H74" s="58">
        <f t="shared" si="32"/>
        <v>23300000</v>
      </c>
      <c r="I74" s="58">
        <f t="shared" si="32"/>
        <v>6700000</v>
      </c>
      <c r="J74" s="58">
        <f>J75</f>
        <v>30000000</v>
      </c>
      <c r="K74" s="58">
        <f t="shared" ref="K74:Q75" si="41">K75</f>
        <v>23300000</v>
      </c>
      <c r="L74" s="58">
        <f t="shared" si="41"/>
        <v>6700000</v>
      </c>
      <c r="M74" s="58">
        <f t="shared" si="41"/>
        <v>0</v>
      </c>
      <c r="N74" s="58">
        <f t="shared" si="41"/>
        <v>0</v>
      </c>
      <c r="O74" s="58">
        <f t="shared" si="41"/>
        <v>0</v>
      </c>
      <c r="P74" s="58">
        <f t="shared" si="41"/>
        <v>0</v>
      </c>
      <c r="Q74" s="58">
        <f t="shared" si="41"/>
        <v>0</v>
      </c>
    </row>
    <row r="75" spans="1:17" s="76" customFormat="1" ht="28" customHeight="1" x14ac:dyDescent="0.35">
      <c r="A75" s="214"/>
      <c r="B75" s="215"/>
      <c r="C75" s="60">
        <v>0</v>
      </c>
      <c r="D75" s="60">
        <v>0</v>
      </c>
      <c r="E75" s="60">
        <v>0</v>
      </c>
      <c r="F75" s="61" t="s">
        <v>36</v>
      </c>
      <c r="G75" s="60">
        <f t="shared" si="32"/>
        <v>30000000</v>
      </c>
      <c r="H75" s="60">
        <f t="shared" si="32"/>
        <v>23300000</v>
      </c>
      <c r="I75" s="60">
        <f t="shared" si="32"/>
        <v>6700000</v>
      </c>
      <c r="J75" s="60">
        <f>J76</f>
        <v>30000000</v>
      </c>
      <c r="K75" s="60">
        <f t="shared" si="41"/>
        <v>23300000</v>
      </c>
      <c r="L75" s="60">
        <f t="shared" si="41"/>
        <v>6700000</v>
      </c>
      <c r="M75" s="60">
        <f t="shared" si="41"/>
        <v>0</v>
      </c>
      <c r="N75" s="60">
        <f t="shared" si="41"/>
        <v>0</v>
      </c>
      <c r="O75" s="60">
        <f t="shared" si="41"/>
        <v>0</v>
      </c>
      <c r="P75" s="60">
        <f t="shared" si="41"/>
        <v>0</v>
      </c>
      <c r="Q75" s="60">
        <f t="shared" si="41"/>
        <v>0</v>
      </c>
    </row>
    <row r="76" spans="1:17" s="76" customFormat="1" ht="28" customHeight="1" x14ac:dyDescent="0.35">
      <c r="A76" s="214"/>
      <c r="B76" s="215"/>
      <c r="C76" s="79"/>
      <c r="D76" s="81"/>
      <c r="E76" s="64"/>
      <c r="F76" s="66" t="s">
        <v>37</v>
      </c>
      <c r="G76" s="67">
        <f t="shared" si="32"/>
        <v>30000000</v>
      </c>
      <c r="H76" s="67">
        <f t="shared" si="32"/>
        <v>23300000</v>
      </c>
      <c r="I76" s="67">
        <f t="shared" si="32"/>
        <v>6700000</v>
      </c>
      <c r="J76" s="67">
        <f>K76+L76</f>
        <v>30000000</v>
      </c>
      <c r="K76" s="67">
        <f>23300000</f>
        <v>23300000</v>
      </c>
      <c r="L76" s="67">
        <f>6700000</f>
        <v>6700000</v>
      </c>
      <c r="M76" s="68">
        <v>0</v>
      </c>
      <c r="N76" s="68">
        <f>O76+P76</f>
        <v>0</v>
      </c>
      <c r="O76" s="68">
        <v>0</v>
      </c>
      <c r="P76" s="68">
        <v>0</v>
      </c>
      <c r="Q76" s="68">
        <v>0</v>
      </c>
    </row>
    <row r="77" spans="1:17" s="83" customFormat="1" ht="28" customHeight="1" x14ac:dyDescent="0.35">
      <c r="A77" s="45" t="s">
        <v>84</v>
      </c>
      <c r="B77" s="46" t="s">
        <v>85</v>
      </c>
      <c r="C77" s="47">
        <f>C78</f>
        <v>0</v>
      </c>
      <c r="D77" s="47">
        <f>D78</f>
        <v>0</v>
      </c>
      <c r="E77" s="48">
        <f>E78</f>
        <v>0</v>
      </c>
      <c r="F77" s="82"/>
      <c r="G77" s="48">
        <f>G78</f>
        <v>112100000</v>
      </c>
      <c r="H77" s="48">
        <f t="shared" ref="H77:Q80" si="42">H78</f>
        <v>107100000</v>
      </c>
      <c r="I77" s="48">
        <f t="shared" si="42"/>
        <v>5000000</v>
      </c>
      <c r="J77" s="48">
        <f t="shared" si="42"/>
        <v>112100000</v>
      </c>
      <c r="K77" s="48">
        <f t="shared" si="42"/>
        <v>107100000</v>
      </c>
      <c r="L77" s="48">
        <f t="shared" si="42"/>
        <v>5000000</v>
      </c>
      <c r="M77" s="48">
        <f t="shared" si="42"/>
        <v>0</v>
      </c>
      <c r="N77" s="48">
        <f t="shared" si="42"/>
        <v>0</v>
      </c>
      <c r="O77" s="48">
        <f t="shared" si="42"/>
        <v>0</v>
      </c>
      <c r="P77" s="48">
        <f t="shared" si="42"/>
        <v>0</v>
      </c>
      <c r="Q77" s="48">
        <f t="shared" si="42"/>
        <v>0</v>
      </c>
    </row>
    <row r="78" spans="1:17" s="84" customFormat="1" ht="28.5" x14ac:dyDescent="0.35">
      <c r="A78" s="50" t="s">
        <v>86</v>
      </c>
      <c r="B78" s="51" t="s">
        <v>87</v>
      </c>
      <c r="C78" s="52">
        <f>C79</f>
        <v>0</v>
      </c>
      <c r="D78" s="52">
        <f>D80</f>
        <v>0</v>
      </c>
      <c r="E78" s="53">
        <f>E80</f>
        <v>0</v>
      </c>
      <c r="F78" s="54" t="s">
        <v>88</v>
      </c>
      <c r="G78" s="52">
        <f>J78+M78+N78+Q78</f>
        <v>112100000</v>
      </c>
      <c r="H78" s="52">
        <f t="shared" ref="H78:I81" si="43">K78+O78</f>
        <v>107100000</v>
      </c>
      <c r="I78" s="52">
        <f t="shared" si="43"/>
        <v>5000000</v>
      </c>
      <c r="J78" s="52">
        <f>J79</f>
        <v>112100000</v>
      </c>
      <c r="K78" s="52">
        <f t="shared" si="42"/>
        <v>107100000</v>
      </c>
      <c r="L78" s="52">
        <f t="shared" si="42"/>
        <v>5000000</v>
      </c>
      <c r="M78" s="52">
        <f t="shared" si="42"/>
        <v>0</v>
      </c>
      <c r="N78" s="52">
        <f t="shared" si="42"/>
        <v>0</v>
      </c>
      <c r="O78" s="52">
        <f t="shared" si="42"/>
        <v>0</v>
      </c>
      <c r="P78" s="52">
        <f t="shared" si="42"/>
        <v>0</v>
      </c>
      <c r="Q78" s="52">
        <f t="shared" si="42"/>
        <v>0</v>
      </c>
    </row>
    <row r="79" spans="1:17" s="84" customFormat="1" ht="28" customHeight="1" x14ac:dyDescent="0.35">
      <c r="A79" s="214" t="s">
        <v>89</v>
      </c>
      <c r="B79" s="215" t="s">
        <v>90</v>
      </c>
      <c r="C79" s="56">
        <f>C80</f>
        <v>0</v>
      </c>
      <c r="D79" s="57">
        <f>D80</f>
        <v>0</v>
      </c>
      <c r="E79" s="58">
        <f>E80</f>
        <v>0</v>
      </c>
      <c r="F79" s="59" t="s">
        <v>91</v>
      </c>
      <c r="G79" s="58">
        <f>J79+M79+N79+Q79</f>
        <v>112100000</v>
      </c>
      <c r="H79" s="58">
        <f t="shared" si="43"/>
        <v>107100000</v>
      </c>
      <c r="I79" s="58">
        <f t="shared" si="43"/>
        <v>5000000</v>
      </c>
      <c r="J79" s="58">
        <f>J80</f>
        <v>112100000</v>
      </c>
      <c r="K79" s="58">
        <f t="shared" si="42"/>
        <v>107100000</v>
      </c>
      <c r="L79" s="58">
        <f t="shared" si="42"/>
        <v>5000000</v>
      </c>
      <c r="M79" s="58">
        <f t="shared" si="42"/>
        <v>0</v>
      </c>
      <c r="N79" s="58">
        <f t="shared" si="42"/>
        <v>0</v>
      </c>
      <c r="O79" s="58">
        <f t="shared" si="42"/>
        <v>0</v>
      </c>
      <c r="P79" s="58">
        <f t="shared" si="42"/>
        <v>0</v>
      </c>
      <c r="Q79" s="58">
        <f t="shared" si="42"/>
        <v>0</v>
      </c>
    </row>
    <row r="80" spans="1:17" s="76" customFormat="1" ht="28" customHeight="1" x14ac:dyDescent="0.35">
      <c r="A80" s="214"/>
      <c r="B80" s="215"/>
      <c r="C80" s="60">
        <v>0</v>
      </c>
      <c r="D80" s="60">
        <v>0</v>
      </c>
      <c r="E80" s="60">
        <v>0</v>
      </c>
      <c r="F80" s="61" t="s">
        <v>36</v>
      </c>
      <c r="G80" s="60">
        <f>J80+M80+N80+Q80</f>
        <v>112100000</v>
      </c>
      <c r="H80" s="60">
        <f t="shared" si="43"/>
        <v>107100000</v>
      </c>
      <c r="I80" s="60">
        <f t="shared" si="43"/>
        <v>5000000</v>
      </c>
      <c r="J80" s="60">
        <f>J81</f>
        <v>112100000</v>
      </c>
      <c r="K80" s="60">
        <f t="shared" si="42"/>
        <v>107100000</v>
      </c>
      <c r="L80" s="60">
        <f t="shared" si="42"/>
        <v>5000000</v>
      </c>
      <c r="M80" s="60">
        <f t="shared" si="42"/>
        <v>0</v>
      </c>
      <c r="N80" s="60">
        <f t="shared" si="42"/>
        <v>0</v>
      </c>
      <c r="O80" s="60">
        <f t="shared" si="42"/>
        <v>0</v>
      </c>
      <c r="P80" s="60">
        <f t="shared" si="42"/>
        <v>0</v>
      </c>
      <c r="Q80" s="60">
        <f t="shared" si="42"/>
        <v>0</v>
      </c>
    </row>
    <row r="81" spans="1:22" s="76" customFormat="1" ht="28" customHeight="1" x14ac:dyDescent="0.35">
      <c r="A81" s="214"/>
      <c r="B81" s="215"/>
      <c r="C81" s="63"/>
      <c r="D81" s="19"/>
      <c r="E81" s="19"/>
      <c r="F81" s="66" t="s">
        <v>37</v>
      </c>
      <c r="G81" s="67">
        <f>J81+M81+N81+Q81</f>
        <v>112100000</v>
      </c>
      <c r="H81" s="67">
        <f t="shared" si="43"/>
        <v>107100000</v>
      </c>
      <c r="I81" s="67">
        <f t="shared" si="43"/>
        <v>5000000</v>
      </c>
      <c r="J81" s="67">
        <f>K81+L81</f>
        <v>112100000</v>
      </c>
      <c r="K81" s="67">
        <f>107100000</f>
        <v>107100000</v>
      </c>
      <c r="L81" s="67">
        <f>5000000</f>
        <v>5000000</v>
      </c>
      <c r="M81" s="68">
        <v>0</v>
      </c>
      <c r="N81" s="68">
        <f>O81+P81</f>
        <v>0</v>
      </c>
      <c r="O81" s="68">
        <v>0</v>
      </c>
      <c r="P81" s="68">
        <v>0</v>
      </c>
      <c r="Q81" s="68">
        <v>0</v>
      </c>
    </row>
    <row r="82" spans="1:22" ht="28" customHeight="1" x14ac:dyDescent="0.35">
      <c r="A82" s="45" t="s">
        <v>92</v>
      </c>
      <c r="B82" s="46" t="s">
        <v>93</v>
      </c>
      <c r="C82" s="47">
        <f>C83</f>
        <v>0</v>
      </c>
      <c r="D82" s="47">
        <f>D83</f>
        <v>0</v>
      </c>
      <c r="E82" s="48">
        <f>E83</f>
        <v>0</v>
      </c>
      <c r="F82" s="49"/>
      <c r="G82" s="48">
        <f t="shared" ref="G82:Q82" si="44">G83</f>
        <v>231782399</v>
      </c>
      <c r="H82" s="48">
        <f t="shared" si="44"/>
        <v>217275399</v>
      </c>
      <c r="I82" s="48">
        <f t="shared" si="44"/>
        <v>14507000</v>
      </c>
      <c r="J82" s="48">
        <f t="shared" si="44"/>
        <v>231782399</v>
      </c>
      <c r="K82" s="48">
        <f t="shared" si="44"/>
        <v>217275399</v>
      </c>
      <c r="L82" s="48">
        <f t="shared" si="44"/>
        <v>14507000</v>
      </c>
      <c r="M82" s="48">
        <f t="shared" si="44"/>
        <v>0</v>
      </c>
      <c r="N82" s="48">
        <f t="shared" si="44"/>
        <v>0</v>
      </c>
      <c r="O82" s="48">
        <f t="shared" si="44"/>
        <v>0</v>
      </c>
      <c r="P82" s="48">
        <f t="shared" si="44"/>
        <v>0</v>
      </c>
      <c r="Q82" s="48">
        <f t="shared" si="44"/>
        <v>0</v>
      </c>
    </row>
    <row r="83" spans="1:22" ht="28.5" x14ac:dyDescent="0.35">
      <c r="A83" s="228" t="s">
        <v>94</v>
      </c>
      <c r="B83" s="231" t="s">
        <v>95</v>
      </c>
      <c r="C83" s="52">
        <f>C84+C86+C88+C90</f>
        <v>0</v>
      </c>
      <c r="D83" s="52">
        <f t="shared" ref="D83:E83" si="45">D84+D86+D88+D90</f>
        <v>0</v>
      </c>
      <c r="E83" s="53">
        <f t="shared" si="45"/>
        <v>0</v>
      </c>
      <c r="F83" s="54" t="s">
        <v>96</v>
      </c>
      <c r="G83" s="52">
        <f t="shared" ref="G83:G91" si="46">J83+M83+N83+Q83</f>
        <v>231782399</v>
      </c>
      <c r="H83" s="52">
        <f t="shared" ref="H83:I91" si="47">K83+O83</f>
        <v>217275399</v>
      </c>
      <c r="I83" s="52">
        <f t="shared" si="47"/>
        <v>14507000</v>
      </c>
      <c r="J83" s="52">
        <f t="shared" ref="J83:Q83" si="48">J84+J86+J88+J90</f>
        <v>231782399</v>
      </c>
      <c r="K83" s="52">
        <f t="shared" si="48"/>
        <v>217275399</v>
      </c>
      <c r="L83" s="52">
        <f t="shared" si="48"/>
        <v>14507000</v>
      </c>
      <c r="M83" s="52">
        <f t="shared" si="48"/>
        <v>0</v>
      </c>
      <c r="N83" s="52">
        <f t="shared" si="48"/>
        <v>0</v>
      </c>
      <c r="O83" s="52">
        <f t="shared" si="48"/>
        <v>0</v>
      </c>
      <c r="P83" s="52">
        <f t="shared" si="48"/>
        <v>0</v>
      </c>
      <c r="Q83" s="52">
        <f t="shared" si="48"/>
        <v>0</v>
      </c>
    </row>
    <row r="84" spans="1:22" ht="28.5" x14ac:dyDescent="0.35">
      <c r="A84" s="229"/>
      <c r="B84" s="232"/>
      <c r="C84" s="60">
        <v>0</v>
      </c>
      <c r="D84" s="60">
        <v>0</v>
      </c>
      <c r="E84" s="60">
        <v>0</v>
      </c>
      <c r="F84" s="85" t="s">
        <v>40</v>
      </c>
      <c r="G84" s="60">
        <f t="shared" si="46"/>
        <v>55750000</v>
      </c>
      <c r="H84" s="60">
        <f t="shared" si="47"/>
        <v>55750000</v>
      </c>
      <c r="I84" s="60">
        <f t="shared" si="47"/>
        <v>0</v>
      </c>
      <c r="J84" s="60">
        <f t="shared" ref="J84:P84" si="49">J85</f>
        <v>55750000</v>
      </c>
      <c r="K84" s="60">
        <f t="shared" si="49"/>
        <v>55750000</v>
      </c>
      <c r="L84" s="60">
        <f t="shared" si="49"/>
        <v>0</v>
      </c>
      <c r="M84" s="60">
        <f t="shared" si="49"/>
        <v>0</v>
      </c>
      <c r="N84" s="60">
        <f t="shared" si="49"/>
        <v>0</v>
      </c>
      <c r="O84" s="60">
        <f t="shared" si="49"/>
        <v>0</v>
      </c>
      <c r="P84" s="60">
        <f t="shared" si="49"/>
        <v>0</v>
      </c>
      <c r="Q84" s="60">
        <f>Q85</f>
        <v>0</v>
      </c>
    </row>
    <row r="85" spans="1:22" ht="28.5" x14ac:dyDescent="0.35">
      <c r="A85" s="229"/>
      <c r="B85" s="232"/>
      <c r="C85" s="63"/>
      <c r="D85" s="19"/>
      <c r="E85" s="19"/>
      <c r="F85" s="66" t="s">
        <v>41</v>
      </c>
      <c r="G85" s="67">
        <f t="shared" si="46"/>
        <v>55750000</v>
      </c>
      <c r="H85" s="67">
        <f t="shared" si="47"/>
        <v>55750000</v>
      </c>
      <c r="I85" s="67">
        <f t="shared" si="47"/>
        <v>0</v>
      </c>
      <c r="J85" s="67">
        <f>K85+L85</f>
        <v>55750000</v>
      </c>
      <c r="K85" s="67">
        <f>25000000+20750000+5000000+5000000</f>
        <v>55750000</v>
      </c>
      <c r="L85" s="67">
        <v>0</v>
      </c>
      <c r="M85" s="68">
        <v>0</v>
      </c>
      <c r="N85" s="68">
        <f>O85+P85</f>
        <v>0</v>
      </c>
      <c r="O85" s="68">
        <v>0</v>
      </c>
      <c r="P85" s="68">
        <v>0</v>
      </c>
      <c r="Q85" s="68">
        <v>0</v>
      </c>
    </row>
    <row r="86" spans="1:22" ht="28.5" x14ac:dyDescent="0.35">
      <c r="A86" s="229"/>
      <c r="B86" s="232"/>
      <c r="C86" s="60">
        <v>0</v>
      </c>
      <c r="D86" s="60">
        <v>0</v>
      </c>
      <c r="E86" s="60">
        <v>0</v>
      </c>
      <c r="F86" s="85" t="s">
        <v>34</v>
      </c>
      <c r="G86" s="60">
        <f t="shared" si="46"/>
        <v>116032399</v>
      </c>
      <c r="H86" s="60">
        <f t="shared" si="47"/>
        <v>102865399</v>
      </c>
      <c r="I86" s="60">
        <f t="shared" si="47"/>
        <v>13167000</v>
      </c>
      <c r="J86" s="60">
        <f>J87</f>
        <v>116032399</v>
      </c>
      <c r="K86" s="60">
        <f t="shared" ref="K86:Q86" si="50">K87</f>
        <v>102865399</v>
      </c>
      <c r="L86" s="60">
        <f t="shared" si="50"/>
        <v>13167000</v>
      </c>
      <c r="M86" s="60">
        <f t="shared" si="50"/>
        <v>0</v>
      </c>
      <c r="N86" s="60">
        <f t="shared" si="50"/>
        <v>0</v>
      </c>
      <c r="O86" s="60">
        <f t="shared" si="50"/>
        <v>0</v>
      </c>
      <c r="P86" s="60">
        <f t="shared" si="50"/>
        <v>0</v>
      </c>
      <c r="Q86" s="60">
        <f t="shared" si="50"/>
        <v>0</v>
      </c>
    </row>
    <row r="87" spans="1:22" ht="28" customHeight="1" x14ac:dyDescent="0.35">
      <c r="A87" s="229"/>
      <c r="B87" s="232"/>
      <c r="C87" s="63"/>
      <c r="D87" s="19"/>
      <c r="E87" s="19"/>
      <c r="F87" s="66" t="s">
        <v>35</v>
      </c>
      <c r="G87" s="67">
        <f t="shared" si="46"/>
        <v>116032399</v>
      </c>
      <c r="H87" s="67">
        <f t="shared" si="47"/>
        <v>102865399</v>
      </c>
      <c r="I87" s="67">
        <f t="shared" si="47"/>
        <v>13167000</v>
      </c>
      <c r="J87" s="67">
        <f>K87+L87</f>
        <v>116032399</v>
      </c>
      <c r="K87" s="67">
        <f>26000000+43430000+16435399+17000000</f>
        <v>102865399</v>
      </c>
      <c r="L87" s="67">
        <f>7570000+3597000+2000000</f>
        <v>13167000</v>
      </c>
      <c r="M87" s="68">
        <v>0</v>
      </c>
      <c r="N87" s="68">
        <f>O87+P87</f>
        <v>0</v>
      </c>
      <c r="O87" s="68">
        <v>0</v>
      </c>
      <c r="P87" s="68">
        <v>0</v>
      </c>
      <c r="Q87" s="68">
        <v>0</v>
      </c>
    </row>
    <row r="88" spans="1:22" ht="28" customHeight="1" x14ac:dyDescent="0.35">
      <c r="A88" s="229"/>
      <c r="B88" s="232"/>
      <c r="C88" s="60">
        <v>0</v>
      </c>
      <c r="D88" s="60">
        <v>0</v>
      </c>
      <c r="E88" s="60">
        <v>0</v>
      </c>
      <c r="F88" s="85" t="s">
        <v>49</v>
      </c>
      <c r="G88" s="60">
        <f t="shared" si="46"/>
        <v>40000000</v>
      </c>
      <c r="H88" s="60">
        <f t="shared" si="47"/>
        <v>40000000</v>
      </c>
      <c r="I88" s="60">
        <f t="shared" si="47"/>
        <v>0</v>
      </c>
      <c r="J88" s="60">
        <f>J89</f>
        <v>40000000</v>
      </c>
      <c r="K88" s="60">
        <f t="shared" ref="K88:Q88" si="51">K89</f>
        <v>40000000</v>
      </c>
      <c r="L88" s="60">
        <f t="shared" si="51"/>
        <v>0</v>
      </c>
      <c r="M88" s="60">
        <f t="shared" si="51"/>
        <v>0</v>
      </c>
      <c r="N88" s="60">
        <f t="shared" si="51"/>
        <v>0</v>
      </c>
      <c r="O88" s="60">
        <f t="shared" si="51"/>
        <v>0</v>
      </c>
      <c r="P88" s="60">
        <f t="shared" si="51"/>
        <v>0</v>
      </c>
      <c r="Q88" s="60">
        <f t="shared" si="51"/>
        <v>0</v>
      </c>
    </row>
    <row r="89" spans="1:22" ht="28" customHeight="1" x14ac:dyDescent="0.35">
      <c r="A89" s="229"/>
      <c r="B89" s="232"/>
      <c r="C89" s="63"/>
      <c r="D89" s="19"/>
      <c r="E89" s="19"/>
      <c r="F89" s="66" t="s">
        <v>50</v>
      </c>
      <c r="G89" s="67">
        <f t="shared" si="46"/>
        <v>40000000</v>
      </c>
      <c r="H89" s="67">
        <f t="shared" si="47"/>
        <v>40000000</v>
      </c>
      <c r="I89" s="67">
        <f t="shared" si="47"/>
        <v>0</v>
      </c>
      <c r="J89" s="67">
        <f>K89+L89</f>
        <v>40000000</v>
      </c>
      <c r="K89" s="67">
        <f>40000000</f>
        <v>40000000</v>
      </c>
      <c r="L89" s="67">
        <v>0</v>
      </c>
      <c r="M89" s="68">
        <v>0</v>
      </c>
      <c r="N89" s="68">
        <f>O89+P89</f>
        <v>0</v>
      </c>
      <c r="O89" s="68">
        <v>0</v>
      </c>
      <c r="P89" s="68">
        <v>0</v>
      </c>
      <c r="Q89" s="68">
        <v>0</v>
      </c>
    </row>
    <row r="90" spans="1:22" ht="28" customHeight="1" x14ac:dyDescent="0.35">
      <c r="A90" s="229"/>
      <c r="B90" s="232"/>
      <c r="C90" s="60">
        <v>0</v>
      </c>
      <c r="D90" s="60">
        <v>0</v>
      </c>
      <c r="E90" s="60">
        <v>0</v>
      </c>
      <c r="F90" s="85" t="s">
        <v>36</v>
      </c>
      <c r="G90" s="60">
        <f t="shared" si="46"/>
        <v>20000000</v>
      </c>
      <c r="H90" s="60">
        <f t="shared" si="47"/>
        <v>18660000</v>
      </c>
      <c r="I90" s="60">
        <f t="shared" si="47"/>
        <v>1340000</v>
      </c>
      <c r="J90" s="60">
        <f>J91</f>
        <v>20000000</v>
      </c>
      <c r="K90" s="60">
        <f t="shared" ref="K90:Q90" si="52">K91</f>
        <v>18660000</v>
      </c>
      <c r="L90" s="60">
        <f t="shared" si="52"/>
        <v>1340000</v>
      </c>
      <c r="M90" s="60">
        <f t="shared" si="52"/>
        <v>0</v>
      </c>
      <c r="N90" s="60">
        <f t="shared" si="52"/>
        <v>0</v>
      </c>
      <c r="O90" s="60">
        <f t="shared" si="52"/>
        <v>0</v>
      </c>
      <c r="P90" s="60">
        <f t="shared" si="52"/>
        <v>0</v>
      </c>
      <c r="Q90" s="60">
        <f t="shared" si="52"/>
        <v>0</v>
      </c>
    </row>
    <row r="91" spans="1:22" ht="28" customHeight="1" x14ac:dyDescent="0.35">
      <c r="A91" s="230"/>
      <c r="B91" s="233"/>
      <c r="C91" s="63"/>
      <c r="D91" s="19"/>
      <c r="E91" s="19"/>
      <c r="F91" s="66" t="s">
        <v>37</v>
      </c>
      <c r="G91" s="67">
        <f t="shared" si="46"/>
        <v>20000000</v>
      </c>
      <c r="H91" s="67">
        <f t="shared" si="47"/>
        <v>18660000</v>
      </c>
      <c r="I91" s="67">
        <f t="shared" si="47"/>
        <v>1340000</v>
      </c>
      <c r="J91" s="67">
        <f>K91+L91</f>
        <v>20000000</v>
      </c>
      <c r="K91" s="67">
        <f>18660000</f>
        <v>18660000</v>
      </c>
      <c r="L91" s="67">
        <v>1340000</v>
      </c>
      <c r="M91" s="68">
        <v>0</v>
      </c>
      <c r="N91" s="68">
        <f>O91+P91</f>
        <v>0</v>
      </c>
      <c r="O91" s="68">
        <v>0</v>
      </c>
      <c r="P91" s="68">
        <v>0</v>
      </c>
      <c r="Q91" s="68">
        <v>0</v>
      </c>
    </row>
    <row r="92" spans="1:22" s="86" customFormat="1" ht="182" x14ac:dyDescent="0.35">
      <c r="A92" s="39" t="s">
        <v>97</v>
      </c>
      <c r="B92" s="40" t="s">
        <v>98</v>
      </c>
      <c r="C92" s="41">
        <f>C93+C131+C277</f>
        <v>1303953590</v>
      </c>
      <c r="D92" s="41">
        <f>D93+D131+D277</f>
        <v>75000000</v>
      </c>
      <c r="E92" s="42">
        <f>E93+E131+E277</f>
        <v>556550000</v>
      </c>
      <c r="F92" s="42"/>
      <c r="G92" s="42">
        <f t="shared" ref="G92:Q92" si="53">G93+G131+G277</f>
        <v>4202426440</v>
      </c>
      <c r="H92" s="42">
        <f t="shared" si="53"/>
        <v>2740745807</v>
      </c>
      <c r="I92" s="42">
        <f t="shared" si="53"/>
        <v>251092463</v>
      </c>
      <c r="J92" s="42">
        <f t="shared" si="53"/>
        <v>2991838270</v>
      </c>
      <c r="K92" s="42">
        <f t="shared" si="53"/>
        <v>2740745807</v>
      </c>
      <c r="L92" s="42">
        <f t="shared" si="53"/>
        <v>251092463</v>
      </c>
      <c r="M92" s="42">
        <f t="shared" si="53"/>
        <v>1210588170</v>
      </c>
      <c r="N92" s="42">
        <f t="shared" si="53"/>
        <v>0</v>
      </c>
      <c r="O92" s="42">
        <f t="shared" si="53"/>
        <v>0</v>
      </c>
      <c r="P92" s="42">
        <f t="shared" si="53"/>
        <v>0</v>
      </c>
      <c r="Q92" s="42">
        <f t="shared" si="53"/>
        <v>0</v>
      </c>
    </row>
    <row r="93" spans="1:22" s="86" customFormat="1" ht="30" customHeight="1" x14ac:dyDescent="0.35">
      <c r="A93" s="45" t="s">
        <v>99</v>
      </c>
      <c r="B93" s="46" t="s">
        <v>100</v>
      </c>
      <c r="C93" s="47">
        <f>C94+C111+C127</f>
        <v>184440033</v>
      </c>
      <c r="D93" s="47">
        <f>D94+D111+D127</f>
        <v>0</v>
      </c>
      <c r="E93" s="48">
        <f>E94+E111+E127</f>
        <v>516550000</v>
      </c>
      <c r="F93" s="49"/>
      <c r="G93" s="48">
        <f t="shared" ref="G93:Q93" si="54">G94+G111+G127</f>
        <v>1315854743</v>
      </c>
      <c r="H93" s="48">
        <f t="shared" si="54"/>
        <v>1027415201</v>
      </c>
      <c r="I93" s="48">
        <f t="shared" si="54"/>
        <v>185450292</v>
      </c>
      <c r="J93" s="48">
        <f t="shared" si="54"/>
        <v>1212865493</v>
      </c>
      <c r="K93" s="48">
        <f t="shared" si="54"/>
        <v>1027415201</v>
      </c>
      <c r="L93" s="48">
        <f t="shared" si="54"/>
        <v>185450292</v>
      </c>
      <c r="M93" s="48">
        <f t="shared" si="54"/>
        <v>102989250</v>
      </c>
      <c r="N93" s="48">
        <f t="shared" si="54"/>
        <v>0</v>
      </c>
      <c r="O93" s="48">
        <f t="shared" si="54"/>
        <v>0</v>
      </c>
      <c r="P93" s="48">
        <f t="shared" si="54"/>
        <v>0</v>
      </c>
      <c r="Q93" s="48">
        <f t="shared" si="54"/>
        <v>0</v>
      </c>
    </row>
    <row r="94" spans="1:22" s="55" customFormat="1" ht="52" x14ac:dyDescent="0.35">
      <c r="A94" s="87" t="s">
        <v>101</v>
      </c>
      <c r="B94" s="88" t="s">
        <v>102</v>
      </c>
      <c r="C94" s="52">
        <f>C95+C99+C108</f>
        <v>168165628</v>
      </c>
      <c r="D94" s="52">
        <f>D95+D99+D108</f>
        <v>0</v>
      </c>
      <c r="E94" s="53">
        <f>E95+E99+E108</f>
        <v>501550000</v>
      </c>
      <c r="F94" s="54" t="s">
        <v>103</v>
      </c>
      <c r="G94" s="52">
        <f>J94+M94+N94+Q94</f>
        <v>890705629</v>
      </c>
      <c r="H94" s="52">
        <f>K94+O94</f>
        <v>674979991</v>
      </c>
      <c r="I94" s="52">
        <f>L94+P94</f>
        <v>112736388</v>
      </c>
      <c r="J94" s="52">
        <f>J95+J99+J108</f>
        <v>787716379</v>
      </c>
      <c r="K94" s="52">
        <f t="shared" ref="K94:Q94" si="55">K95+K99+K108</f>
        <v>674979991</v>
      </c>
      <c r="L94" s="52">
        <f t="shared" si="55"/>
        <v>112736388</v>
      </c>
      <c r="M94" s="52">
        <f t="shared" si="55"/>
        <v>102989250</v>
      </c>
      <c r="N94" s="52">
        <f t="shared" si="55"/>
        <v>0</v>
      </c>
      <c r="O94" s="52">
        <f t="shared" si="55"/>
        <v>0</v>
      </c>
      <c r="P94" s="52">
        <f t="shared" si="55"/>
        <v>0</v>
      </c>
      <c r="Q94" s="52">
        <f t="shared" si="55"/>
        <v>0</v>
      </c>
    </row>
    <row r="95" spans="1:22" s="55" customFormat="1" ht="28" customHeight="1" x14ac:dyDescent="0.35">
      <c r="A95" s="262" t="s">
        <v>104</v>
      </c>
      <c r="B95" s="251" t="s">
        <v>105</v>
      </c>
      <c r="C95" s="56">
        <f>C96</f>
        <v>0</v>
      </c>
      <c r="D95" s="57">
        <f>D96</f>
        <v>0</v>
      </c>
      <c r="E95" s="58">
        <f>E96</f>
        <v>35000000</v>
      </c>
      <c r="F95" s="59" t="s">
        <v>106</v>
      </c>
      <c r="G95" s="58">
        <f t="shared" ref="G95:G130" si="56">J95+M95+N95+Q95</f>
        <v>77690000</v>
      </c>
      <c r="H95" s="58">
        <f t="shared" ref="H95:I130" si="57">K95+O95</f>
        <v>52704634</v>
      </c>
      <c r="I95" s="58">
        <f t="shared" si="57"/>
        <v>24985366</v>
      </c>
      <c r="J95" s="58">
        <f>J96</f>
        <v>77690000</v>
      </c>
      <c r="K95" s="58">
        <f t="shared" ref="K95:Q95" si="58">K96</f>
        <v>52704634</v>
      </c>
      <c r="L95" s="58">
        <f>L96</f>
        <v>24985366</v>
      </c>
      <c r="M95" s="58">
        <f t="shared" si="58"/>
        <v>0</v>
      </c>
      <c r="N95" s="58">
        <f t="shared" si="58"/>
        <v>0</v>
      </c>
      <c r="O95" s="58">
        <f t="shared" si="58"/>
        <v>0</v>
      </c>
      <c r="P95" s="58">
        <f t="shared" si="58"/>
        <v>0</v>
      </c>
      <c r="Q95" s="58">
        <f t="shared" si="58"/>
        <v>0</v>
      </c>
    </row>
    <row r="96" spans="1:22" ht="28" customHeight="1" x14ac:dyDescent="0.35">
      <c r="A96" s="262"/>
      <c r="B96" s="251"/>
      <c r="C96" s="60">
        <v>0</v>
      </c>
      <c r="D96" s="60">
        <v>0</v>
      </c>
      <c r="E96" s="72">
        <f>G98</f>
        <v>35000000</v>
      </c>
      <c r="F96" s="61" t="s">
        <v>107</v>
      </c>
      <c r="G96" s="60">
        <f t="shared" si="56"/>
        <v>77690000</v>
      </c>
      <c r="H96" s="60">
        <f t="shared" si="57"/>
        <v>52704634</v>
      </c>
      <c r="I96" s="60">
        <f t="shared" si="57"/>
        <v>24985366</v>
      </c>
      <c r="J96" s="60">
        <f>J97+J98</f>
        <v>77690000</v>
      </c>
      <c r="K96" s="60">
        <f t="shared" ref="K96:Q96" si="59">K97+K98</f>
        <v>52704634</v>
      </c>
      <c r="L96" s="60">
        <f t="shared" si="59"/>
        <v>24985366</v>
      </c>
      <c r="M96" s="60">
        <f t="shared" si="59"/>
        <v>0</v>
      </c>
      <c r="N96" s="60">
        <f t="shared" si="59"/>
        <v>0</v>
      </c>
      <c r="O96" s="60">
        <f t="shared" si="59"/>
        <v>0</v>
      </c>
      <c r="P96" s="60">
        <f t="shared" si="59"/>
        <v>0</v>
      </c>
      <c r="Q96" s="60">
        <f t="shared" si="59"/>
        <v>0</v>
      </c>
      <c r="R96" s="89"/>
      <c r="S96" s="89"/>
      <c r="T96" s="89"/>
      <c r="U96" s="89"/>
      <c r="V96" s="89"/>
    </row>
    <row r="97" spans="1:22" ht="28" customHeight="1" x14ac:dyDescent="0.35">
      <c r="A97" s="262"/>
      <c r="B97" s="251"/>
      <c r="C97" s="90"/>
      <c r="D97" s="73"/>
      <c r="E97" s="19"/>
      <c r="F97" s="66" t="s">
        <v>108</v>
      </c>
      <c r="G97" s="67">
        <f t="shared" si="56"/>
        <v>42690000</v>
      </c>
      <c r="H97" s="67">
        <f t="shared" si="57"/>
        <v>26468463</v>
      </c>
      <c r="I97" s="67">
        <f t="shared" si="57"/>
        <v>16221537</v>
      </c>
      <c r="J97" s="67">
        <f>K97+L97</f>
        <v>42690000</v>
      </c>
      <c r="K97" s="67">
        <v>26468463</v>
      </c>
      <c r="L97" s="67">
        <v>16221537</v>
      </c>
      <c r="M97" s="67">
        <v>0</v>
      </c>
      <c r="N97" s="67">
        <f>O97+P97</f>
        <v>0</v>
      </c>
      <c r="O97" s="67">
        <v>0</v>
      </c>
      <c r="P97" s="67">
        <v>0</v>
      </c>
      <c r="Q97" s="67">
        <v>0</v>
      </c>
      <c r="R97" s="89"/>
      <c r="S97" s="89"/>
      <c r="T97" s="89"/>
      <c r="U97" s="89"/>
      <c r="V97" s="89"/>
    </row>
    <row r="98" spans="1:22" ht="28" customHeight="1" x14ac:dyDescent="0.35">
      <c r="A98" s="262"/>
      <c r="B98" s="251"/>
      <c r="C98" s="90"/>
      <c r="D98" s="73"/>
      <c r="E98" s="19"/>
      <c r="F98" s="66" t="s">
        <v>109</v>
      </c>
      <c r="G98" s="74">
        <f t="shared" si="56"/>
        <v>35000000</v>
      </c>
      <c r="H98" s="74">
        <f t="shared" si="57"/>
        <v>26236171</v>
      </c>
      <c r="I98" s="74">
        <f t="shared" si="57"/>
        <v>8763829</v>
      </c>
      <c r="J98" s="74">
        <f>K98+L98</f>
        <v>35000000</v>
      </c>
      <c r="K98" s="74">
        <v>26236171</v>
      </c>
      <c r="L98" s="74">
        <v>8763829</v>
      </c>
      <c r="M98" s="74">
        <v>0</v>
      </c>
      <c r="N98" s="74">
        <f>O98+P98</f>
        <v>0</v>
      </c>
      <c r="O98" s="74">
        <v>0</v>
      </c>
      <c r="P98" s="74">
        <v>0</v>
      </c>
      <c r="Q98" s="74">
        <v>0</v>
      </c>
      <c r="R98" s="89"/>
      <c r="S98" s="89"/>
      <c r="T98" s="89"/>
      <c r="U98" s="89"/>
      <c r="V98" s="89"/>
    </row>
    <row r="99" spans="1:22" ht="28" customHeight="1" x14ac:dyDescent="0.35">
      <c r="A99" s="262" t="s">
        <v>110</v>
      </c>
      <c r="B99" s="251" t="s">
        <v>111</v>
      </c>
      <c r="C99" s="56">
        <f>C100+C105</f>
        <v>168165628</v>
      </c>
      <c r="D99" s="57">
        <f>D100+D105</f>
        <v>0</v>
      </c>
      <c r="E99" s="58">
        <f>E100+E105</f>
        <v>466550000</v>
      </c>
      <c r="F99" s="59" t="s">
        <v>112</v>
      </c>
      <c r="G99" s="58">
        <f t="shared" si="56"/>
        <v>768415629</v>
      </c>
      <c r="H99" s="58">
        <f t="shared" si="57"/>
        <v>590250357</v>
      </c>
      <c r="I99" s="58">
        <f t="shared" si="57"/>
        <v>75176022</v>
      </c>
      <c r="J99" s="58">
        <f>J100+J105</f>
        <v>665426379</v>
      </c>
      <c r="K99" s="58">
        <f t="shared" ref="K99:Q99" si="60">K100+K105</f>
        <v>590250357</v>
      </c>
      <c r="L99" s="58">
        <f t="shared" si="60"/>
        <v>75176022</v>
      </c>
      <c r="M99" s="58">
        <f t="shared" si="60"/>
        <v>102989250</v>
      </c>
      <c r="N99" s="58">
        <f t="shared" si="60"/>
        <v>0</v>
      </c>
      <c r="O99" s="58">
        <f t="shared" si="60"/>
        <v>0</v>
      </c>
      <c r="P99" s="58">
        <f t="shared" si="60"/>
        <v>0</v>
      </c>
      <c r="Q99" s="58">
        <f t="shared" si="60"/>
        <v>0</v>
      </c>
      <c r="R99" s="89"/>
      <c r="S99" s="89"/>
      <c r="T99" s="89"/>
      <c r="U99" s="89"/>
      <c r="V99" s="89"/>
    </row>
    <row r="100" spans="1:22" s="62" customFormat="1" ht="28" customHeight="1" x14ac:dyDescent="0.35">
      <c r="A100" s="262"/>
      <c r="B100" s="251"/>
      <c r="C100" s="69">
        <f>G102+G103</f>
        <v>168165628</v>
      </c>
      <c r="D100" s="60">
        <v>0</v>
      </c>
      <c r="E100" s="91">
        <f>G104</f>
        <v>50000000</v>
      </c>
      <c r="F100" s="61" t="s">
        <v>107</v>
      </c>
      <c r="G100" s="60">
        <f t="shared" si="56"/>
        <v>351865629</v>
      </c>
      <c r="H100" s="60">
        <f t="shared" si="57"/>
        <v>276689607</v>
      </c>
      <c r="I100" s="60">
        <f t="shared" si="57"/>
        <v>75176022</v>
      </c>
      <c r="J100" s="60">
        <f>J101+J102+J103+J104</f>
        <v>351865629</v>
      </c>
      <c r="K100" s="60">
        <f t="shared" ref="K100:Q100" si="61">K101+K102+K103+K104</f>
        <v>276689607</v>
      </c>
      <c r="L100" s="60">
        <f t="shared" si="61"/>
        <v>75176022</v>
      </c>
      <c r="M100" s="60">
        <f t="shared" si="61"/>
        <v>0</v>
      </c>
      <c r="N100" s="60">
        <f t="shared" si="61"/>
        <v>0</v>
      </c>
      <c r="O100" s="60">
        <f t="shared" si="61"/>
        <v>0</v>
      </c>
      <c r="P100" s="60">
        <f t="shared" si="61"/>
        <v>0</v>
      </c>
      <c r="Q100" s="60">
        <f t="shared" si="61"/>
        <v>0</v>
      </c>
      <c r="R100" s="92"/>
      <c r="S100" s="92"/>
      <c r="T100" s="92"/>
      <c r="U100" s="92"/>
      <c r="V100" s="92"/>
    </row>
    <row r="101" spans="1:22" s="62" customFormat="1" ht="28" customHeight="1" x14ac:dyDescent="0.35">
      <c r="A101" s="262"/>
      <c r="B101" s="251"/>
      <c r="C101" s="79"/>
      <c r="D101" s="73"/>
      <c r="E101" s="93"/>
      <c r="F101" s="66" t="s">
        <v>108</v>
      </c>
      <c r="G101" s="67">
        <f t="shared" si="56"/>
        <v>133700001</v>
      </c>
      <c r="H101" s="67">
        <f t="shared" si="57"/>
        <v>104246735</v>
      </c>
      <c r="I101" s="67">
        <f t="shared" si="57"/>
        <v>29453266</v>
      </c>
      <c r="J101" s="67">
        <f>K101+L101</f>
        <v>133700001</v>
      </c>
      <c r="K101" s="67">
        <v>104246735</v>
      </c>
      <c r="L101" s="67">
        <v>29453266</v>
      </c>
      <c r="M101" s="67">
        <v>0</v>
      </c>
      <c r="N101" s="67">
        <f>O101+P101</f>
        <v>0</v>
      </c>
      <c r="O101" s="67">
        <v>0</v>
      </c>
      <c r="P101" s="67">
        <v>0</v>
      </c>
      <c r="Q101" s="67">
        <v>0</v>
      </c>
      <c r="R101" s="92"/>
      <c r="S101" s="92"/>
      <c r="T101" s="92"/>
      <c r="U101" s="92"/>
      <c r="V101" s="92"/>
    </row>
    <row r="102" spans="1:22" s="62" customFormat="1" ht="28" customHeight="1" x14ac:dyDescent="0.35">
      <c r="A102" s="262"/>
      <c r="B102" s="251"/>
      <c r="C102" s="79"/>
      <c r="D102" s="73"/>
      <c r="E102" s="93"/>
      <c r="F102" s="66" t="s">
        <v>113</v>
      </c>
      <c r="G102" s="71">
        <f t="shared" si="56"/>
        <v>91461383</v>
      </c>
      <c r="H102" s="71">
        <f t="shared" si="57"/>
        <v>64636447</v>
      </c>
      <c r="I102" s="71">
        <f t="shared" si="57"/>
        <v>26824936</v>
      </c>
      <c r="J102" s="71">
        <f>K102+L102</f>
        <v>91461383</v>
      </c>
      <c r="K102" s="71">
        <f>58306904+3000000+871577+1000000+3000000-1542034</f>
        <v>64636447</v>
      </c>
      <c r="L102" s="71">
        <f>19824936+7000000</f>
        <v>26824936</v>
      </c>
      <c r="M102" s="71">
        <v>0</v>
      </c>
      <c r="N102" s="71">
        <f>O102+P102</f>
        <v>0</v>
      </c>
      <c r="O102" s="71">
        <v>0</v>
      </c>
      <c r="P102" s="71">
        <v>0</v>
      </c>
      <c r="Q102" s="71">
        <v>0</v>
      </c>
      <c r="R102" s="92"/>
      <c r="S102" s="92"/>
      <c r="T102" s="92"/>
      <c r="U102" s="92"/>
      <c r="V102" s="92"/>
    </row>
    <row r="103" spans="1:22" s="62" customFormat="1" ht="28" customHeight="1" x14ac:dyDescent="0.35">
      <c r="A103" s="262"/>
      <c r="B103" s="251"/>
      <c r="C103" s="79"/>
      <c r="D103" s="73"/>
      <c r="E103" s="93"/>
      <c r="F103" s="66" t="s">
        <v>114</v>
      </c>
      <c r="G103" s="71">
        <f t="shared" si="56"/>
        <v>76704245</v>
      </c>
      <c r="H103" s="71">
        <f t="shared" si="57"/>
        <v>70326180</v>
      </c>
      <c r="I103" s="71">
        <f t="shared" si="57"/>
        <v>6378065</v>
      </c>
      <c r="J103" s="71">
        <f>K103+L103</f>
        <v>76704245</v>
      </c>
      <c r="K103" s="71">
        <f>40130227+28653919+1542034</f>
        <v>70326180</v>
      </c>
      <c r="L103" s="71">
        <f>3538823+2839242</f>
        <v>6378065</v>
      </c>
      <c r="M103" s="71">
        <v>0</v>
      </c>
      <c r="N103" s="71">
        <f>O103+P103</f>
        <v>0</v>
      </c>
      <c r="O103" s="71">
        <v>0</v>
      </c>
      <c r="P103" s="71">
        <v>0</v>
      </c>
      <c r="Q103" s="71">
        <v>0</v>
      </c>
      <c r="R103" s="92"/>
      <c r="S103" s="92"/>
      <c r="T103" s="92"/>
      <c r="U103" s="92"/>
      <c r="V103" s="92"/>
    </row>
    <row r="104" spans="1:22" s="62" customFormat="1" ht="28" customHeight="1" x14ac:dyDescent="0.35">
      <c r="A104" s="262"/>
      <c r="B104" s="251"/>
      <c r="C104" s="94"/>
      <c r="D104" s="95"/>
      <c r="E104" s="96"/>
      <c r="F104" s="66" t="s">
        <v>109</v>
      </c>
      <c r="G104" s="74">
        <f t="shared" si="56"/>
        <v>50000000</v>
      </c>
      <c r="H104" s="74">
        <f t="shared" si="57"/>
        <v>37480245</v>
      </c>
      <c r="I104" s="74">
        <f t="shared" si="57"/>
        <v>12519755</v>
      </c>
      <c r="J104" s="74">
        <f>K104+L104</f>
        <v>50000000</v>
      </c>
      <c r="K104" s="74">
        <v>37480245</v>
      </c>
      <c r="L104" s="74">
        <v>12519755</v>
      </c>
      <c r="M104" s="74">
        <v>0</v>
      </c>
      <c r="N104" s="74">
        <f>O104+P104</f>
        <v>0</v>
      </c>
      <c r="O104" s="74">
        <v>0</v>
      </c>
      <c r="P104" s="74">
        <v>0</v>
      </c>
      <c r="Q104" s="74">
        <v>0</v>
      </c>
      <c r="R104" s="92"/>
      <c r="S104" s="92"/>
      <c r="T104" s="92"/>
      <c r="U104" s="92"/>
      <c r="V104" s="92"/>
    </row>
    <row r="105" spans="1:22" s="62" customFormat="1" ht="28" customHeight="1" x14ac:dyDescent="0.35">
      <c r="A105" s="262"/>
      <c r="B105" s="251"/>
      <c r="C105" s="60">
        <v>0</v>
      </c>
      <c r="D105" s="60">
        <v>0</v>
      </c>
      <c r="E105" s="91">
        <f>G107</f>
        <v>416550000</v>
      </c>
      <c r="F105" s="61" t="s">
        <v>115</v>
      </c>
      <c r="G105" s="60">
        <f t="shared" si="56"/>
        <v>416550000</v>
      </c>
      <c r="H105" s="60">
        <f t="shared" si="57"/>
        <v>313560750</v>
      </c>
      <c r="I105" s="60">
        <f t="shared" si="57"/>
        <v>0</v>
      </c>
      <c r="J105" s="60">
        <f>J106+J107</f>
        <v>313560750</v>
      </c>
      <c r="K105" s="60">
        <f t="shared" ref="K105:Q105" si="62">K106+K107</f>
        <v>313560750</v>
      </c>
      <c r="L105" s="60">
        <f t="shared" si="62"/>
        <v>0</v>
      </c>
      <c r="M105" s="60">
        <f t="shared" si="62"/>
        <v>102989250</v>
      </c>
      <c r="N105" s="60">
        <f t="shared" si="62"/>
        <v>0</v>
      </c>
      <c r="O105" s="60">
        <f t="shared" si="62"/>
        <v>0</v>
      </c>
      <c r="P105" s="60">
        <f t="shared" si="62"/>
        <v>0</v>
      </c>
      <c r="Q105" s="60">
        <f t="shared" si="62"/>
        <v>0</v>
      </c>
      <c r="R105" s="92"/>
      <c r="S105" s="92"/>
      <c r="T105" s="92"/>
      <c r="U105" s="92"/>
      <c r="V105" s="92"/>
    </row>
    <row r="106" spans="1:22" s="62" customFormat="1" ht="28" customHeight="1" x14ac:dyDescent="0.35">
      <c r="A106" s="262"/>
      <c r="B106" s="251"/>
      <c r="C106" s="97"/>
      <c r="D106" s="73"/>
      <c r="E106" s="64"/>
      <c r="F106" s="66" t="s">
        <v>116</v>
      </c>
      <c r="G106" s="67">
        <f t="shared" si="56"/>
        <v>0</v>
      </c>
      <c r="H106" s="67">
        <f t="shared" si="57"/>
        <v>0</v>
      </c>
      <c r="I106" s="67">
        <f t="shared" si="57"/>
        <v>0</v>
      </c>
      <c r="J106" s="67">
        <f>K106+L106</f>
        <v>0</v>
      </c>
      <c r="K106" s="67">
        <v>0</v>
      </c>
      <c r="L106" s="67">
        <v>0</v>
      </c>
      <c r="M106" s="67">
        <v>0</v>
      </c>
      <c r="N106" s="67">
        <f>O106+P106</f>
        <v>0</v>
      </c>
      <c r="O106" s="67">
        <v>0</v>
      </c>
      <c r="P106" s="67">
        <v>0</v>
      </c>
      <c r="Q106" s="67">
        <v>0</v>
      </c>
      <c r="R106" s="92"/>
      <c r="S106" s="92"/>
      <c r="T106" s="92"/>
      <c r="U106" s="92"/>
      <c r="V106" s="92"/>
    </row>
    <row r="107" spans="1:22" s="62" customFormat="1" ht="28" customHeight="1" x14ac:dyDescent="0.35">
      <c r="A107" s="262"/>
      <c r="B107" s="251"/>
      <c r="C107" s="97"/>
      <c r="D107" s="73"/>
      <c r="E107" s="64"/>
      <c r="F107" s="66" t="s">
        <v>117</v>
      </c>
      <c r="G107" s="74">
        <f t="shared" si="56"/>
        <v>416550000</v>
      </c>
      <c r="H107" s="74">
        <f t="shared" si="57"/>
        <v>313560750</v>
      </c>
      <c r="I107" s="74">
        <f t="shared" si="57"/>
        <v>0</v>
      </c>
      <c r="J107" s="74">
        <f>K107+L107</f>
        <v>313560750</v>
      </c>
      <c r="K107" s="74">
        <v>313560750</v>
      </c>
      <c r="L107" s="74">
        <v>0</v>
      </c>
      <c r="M107" s="74">
        <v>102989250</v>
      </c>
      <c r="N107" s="74">
        <f>O107+P107</f>
        <v>0</v>
      </c>
      <c r="O107" s="74">
        <v>0</v>
      </c>
      <c r="P107" s="74">
        <v>0</v>
      </c>
      <c r="Q107" s="74">
        <v>0</v>
      </c>
      <c r="R107" s="92"/>
      <c r="S107" s="92"/>
      <c r="T107" s="92"/>
      <c r="U107" s="92"/>
      <c r="V107" s="92"/>
    </row>
    <row r="108" spans="1:22" s="62" customFormat="1" ht="28" customHeight="1" x14ac:dyDescent="0.35">
      <c r="A108" s="262" t="s">
        <v>118</v>
      </c>
      <c r="B108" s="251" t="s">
        <v>119</v>
      </c>
      <c r="C108" s="56">
        <f>C109</f>
        <v>0</v>
      </c>
      <c r="D108" s="57">
        <f>D109</f>
        <v>0</v>
      </c>
      <c r="E108" s="58">
        <f>E109</f>
        <v>0</v>
      </c>
      <c r="F108" s="59" t="s">
        <v>120</v>
      </c>
      <c r="G108" s="58">
        <f t="shared" si="56"/>
        <v>44600000</v>
      </c>
      <c r="H108" s="58">
        <f t="shared" si="57"/>
        <v>32025000</v>
      </c>
      <c r="I108" s="58">
        <f t="shared" si="57"/>
        <v>12575000</v>
      </c>
      <c r="J108" s="58">
        <f>J109</f>
        <v>44600000</v>
      </c>
      <c r="K108" s="58">
        <f t="shared" ref="K108:Q109" si="63">K109</f>
        <v>32025000</v>
      </c>
      <c r="L108" s="58">
        <f t="shared" si="63"/>
        <v>12575000</v>
      </c>
      <c r="M108" s="58">
        <f t="shared" si="63"/>
        <v>0</v>
      </c>
      <c r="N108" s="58">
        <f t="shared" si="63"/>
        <v>0</v>
      </c>
      <c r="O108" s="58">
        <f t="shared" si="63"/>
        <v>0</v>
      </c>
      <c r="P108" s="58">
        <f t="shared" si="63"/>
        <v>0</v>
      </c>
      <c r="Q108" s="58">
        <f t="shared" si="63"/>
        <v>0</v>
      </c>
      <c r="R108" s="92"/>
      <c r="S108" s="92"/>
      <c r="T108" s="92"/>
      <c r="U108" s="92"/>
      <c r="V108" s="92"/>
    </row>
    <row r="109" spans="1:22" ht="28" customHeight="1" x14ac:dyDescent="0.35">
      <c r="A109" s="262"/>
      <c r="B109" s="251"/>
      <c r="C109" s="60">
        <v>0</v>
      </c>
      <c r="D109" s="60">
        <v>0</v>
      </c>
      <c r="E109" s="60">
        <v>0</v>
      </c>
      <c r="F109" s="61" t="s">
        <v>107</v>
      </c>
      <c r="G109" s="60">
        <f t="shared" si="56"/>
        <v>44600000</v>
      </c>
      <c r="H109" s="60">
        <f t="shared" si="57"/>
        <v>32025000</v>
      </c>
      <c r="I109" s="60">
        <f t="shared" si="57"/>
        <v>12575000</v>
      </c>
      <c r="J109" s="60">
        <f>J110</f>
        <v>44600000</v>
      </c>
      <c r="K109" s="60">
        <f t="shared" si="63"/>
        <v>32025000</v>
      </c>
      <c r="L109" s="60">
        <f t="shared" si="63"/>
        <v>12575000</v>
      </c>
      <c r="M109" s="60">
        <f t="shared" si="63"/>
        <v>0</v>
      </c>
      <c r="N109" s="60">
        <f t="shared" si="63"/>
        <v>0</v>
      </c>
      <c r="O109" s="60">
        <f t="shared" si="63"/>
        <v>0</v>
      </c>
      <c r="P109" s="60">
        <f t="shared" si="63"/>
        <v>0</v>
      </c>
      <c r="Q109" s="60">
        <f t="shared" si="63"/>
        <v>0</v>
      </c>
      <c r="R109" s="89"/>
      <c r="S109" s="89"/>
      <c r="T109" s="89"/>
      <c r="U109" s="89"/>
      <c r="V109" s="89"/>
    </row>
    <row r="110" spans="1:22" ht="28" customHeight="1" x14ac:dyDescent="0.35">
      <c r="A110" s="262"/>
      <c r="B110" s="251"/>
      <c r="C110" s="98"/>
      <c r="D110" s="73"/>
      <c r="E110" s="78"/>
      <c r="F110" s="66" t="s">
        <v>108</v>
      </c>
      <c r="G110" s="67">
        <f t="shared" si="56"/>
        <v>44600000</v>
      </c>
      <c r="H110" s="67">
        <f t="shared" si="57"/>
        <v>32025000</v>
      </c>
      <c r="I110" s="67">
        <f t="shared" si="57"/>
        <v>12575000</v>
      </c>
      <c r="J110" s="67">
        <f>K110+L110</f>
        <v>44600000</v>
      </c>
      <c r="K110" s="67">
        <v>32025000</v>
      </c>
      <c r="L110" s="67">
        <v>12575000</v>
      </c>
      <c r="M110" s="67">
        <v>0</v>
      </c>
      <c r="N110" s="67">
        <f>O110+P110</f>
        <v>0</v>
      </c>
      <c r="O110" s="67">
        <v>0</v>
      </c>
      <c r="P110" s="67">
        <v>0</v>
      </c>
      <c r="Q110" s="67">
        <v>0</v>
      </c>
      <c r="R110" s="89"/>
      <c r="S110" s="89"/>
      <c r="T110" s="89"/>
      <c r="U110" s="89"/>
      <c r="V110" s="89"/>
    </row>
    <row r="111" spans="1:22" ht="78" x14ac:dyDescent="0.35">
      <c r="A111" s="87" t="s">
        <v>121</v>
      </c>
      <c r="B111" s="88" t="s">
        <v>122</v>
      </c>
      <c r="C111" s="52">
        <f>C112+C116+C121+C124</f>
        <v>16274405</v>
      </c>
      <c r="D111" s="52">
        <f>D112+D116+D121+D124</f>
        <v>0</v>
      </c>
      <c r="E111" s="53">
        <f>E112+E116+E121+E124</f>
        <v>15000000</v>
      </c>
      <c r="F111" s="54" t="s">
        <v>123</v>
      </c>
      <c r="G111" s="52">
        <f t="shared" si="56"/>
        <v>391249114</v>
      </c>
      <c r="H111" s="52">
        <f t="shared" si="57"/>
        <v>327730510</v>
      </c>
      <c r="I111" s="52">
        <f t="shared" si="57"/>
        <v>63518604</v>
      </c>
      <c r="J111" s="52">
        <f>J112+J116+J121+J124</f>
        <v>391249114</v>
      </c>
      <c r="K111" s="52">
        <f t="shared" ref="K111:Q111" si="64">K112+K116+K121+K124</f>
        <v>327730510</v>
      </c>
      <c r="L111" s="52">
        <f t="shared" si="64"/>
        <v>63518604</v>
      </c>
      <c r="M111" s="52">
        <f t="shared" si="64"/>
        <v>0</v>
      </c>
      <c r="N111" s="52">
        <f t="shared" si="64"/>
        <v>0</v>
      </c>
      <c r="O111" s="52">
        <f t="shared" si="64"/>
        <v>0</v>
      </c>
      <c r="P111" s="52">
        <f t="shared" si="64"/>
        <v>0</v>
      </c>
      <c r="Q111" s="52">
        <f t="shared" si="64"/>
        <v>0</v>
      </c>
      <c r="R111" s="89"/>
      <c r="S111" s="89"/>
      <c r="T111" s="89"/>
      <c r="U111" s="89"/>
      <c r="V111" s="89"/>
    </row>
    <row r="112" spans="1:22" ht="28" customHeight="1" x14ac:dyDescent="0.35">
      <c r="A112" s="262" t="s">
        <v>124</v>
      </c>
      <c r="B112" s="251" t="s">
        <v>125</v>
      </c>
      <c r="C112" s="56">
        <f>C113</f>
        <v>0</v>
      </c>
      <c r="D112" s="57">
        <f>D113</f>
        <v>0</v>
      </c>
      <c r="E112" s="58">
        <f>E113</f>
        <v>15000000</v>
      </c>
      <c r="F112" s="59" t="s">
        <v>126</v>
      </c>
      <c r="G112" s="58">
        <f t="shared" si="56"/>
        <v>95062529</v>
      </c>
      <c r="H112" s="58">
        <f t="shared" si="57"/>
        <v>74091980</v>
      </c>
      <c r="I112" s="58">
        <f t="shared" si="57"/>
        <v>20970549</v>
      </c>
      <c r="J112" s="58">
        <f>J113</f>
        <v>95062529</v>
      </c>
      <c r="K112" s="58">
        <f t="shared" ref="K112:Q112" si="65">K113</f>
        <v>74091980</v>
      </c>
      <c r="L112" s="58">
        <f t="shared" si="65"/>
        <v>20970549</v>
      </c>
      <c r="M112" s="58">
        <f t="shared" si="65"/>
        <v>0</v>
      </c>
      <c r="N112" s="58">
        <f t="shared" si="65"/>
        <v>0</v>
      </c>
      <c r="O112" s="58">
        <f t="shared" si="65"/>
        <v>0</v>
      </c>
      <c r="P112" s="58">
        <f t="shared" si="65"/>
        <v>0</v>
      </c>
      <c r="Q112" s="58">
        <f t="shared" si="65"/>
        <v>0</v>
      </c>
      <c r="R112" s="89"/>
      <c r="S112" s="89"/>
      <c r="T112" s="89"/>
      <c r="U112" s="89"/>
      <c r="V112" s="89"/>
    </row>
    <row r="113" spans="1:22" ht="28" customHeight="1" x14ac:dyDescent="0.35">
      <c r="A113" s="262"/>
      <c r="B113" s="251"/>
      <c r="C113" s="60">
        <v>0</v>
      </c>
      <c r="D113" s="60">
        <v>0</v>
      </c>
      <c r="E113" s="72">
        <f>G115</f>
        <v>15000000</v>
      </c>
      <c r="F113" s="61" t="s">
        <v>107</v>
      </c>
      <c r="G113" s="60">
        <f t="shared" si="56"/>
        <v>95062529</v>
      </c>
      <c r="H113" s="60">
        <f t="shared" si="57"/>
        <v>74091980</v>
      </c>
      <c r="I113" s="60">
        <f t="shared" si="57"/>
        <v>20970549</v>
      </c>
      <c r="J113" s="60">
        <f>J114+J115</f>
        <v>95062529</v>
      </c>
      <c r="K113" s="60">
        <f>J113-L113</f>
        <v>74091980</v>
      </c>
      <c r="L113" s="60">
        <v>20970549</v>
      </c>
      <c r="M113" s="60">
        <v>0</v>
      </c>
      <c r="N113" s="60">
        <f>O113+P113</f>
        <v>0</v>
      </c>
      <c r="O113" s="60">
        <v>0</v>
      </c>
      <c r="P113" s="60">
        <v>0</v>
      </c>
      <c r="Q113" s="60">
        <v>0</v>
      </c>
      <c r="R113" s="89"/>
      <c r="S113" s="89"/>
      <c r="T113" s="89"/>
      <c r="U113" s="89"/>
      <c r="V113" s="89"/>
    </row>
    <row r="114" spans="1:22" ht="28" customHeight="1" x14ac:dyDescent="0.35">
      <c r="A114" s="262"/>
      <c r="B114" s="251"/>
      <c r="C114" s="90"/>
      <c r="D114" s="73"/>
      <c r="E114" s="19"/>
      <c r="F114" s="66" t="s">
        <v>108</v>
      </c>
      <c r="G114" s="67">
        <f t="shared" si="56"/>
        <v>80062529</v>
      </c>
      <c r="H114" s="67">
        <f t="shared" si="57"/>
        <v>62912492</v>
      </c>
      <c r="I114" s="67">
        <f t="shared" si="57"/>
        <v>17150037</v>
      </c>
      <c r="J114" s="67">
        <f>K114+L114</f>
        <v>80062529</v>
      </c>
      <c r="K114" s="67">
        <v>62912492</v>
      </c>
      <c r="L114" s="67">
        <v>17150037</v>
      </c>
      <c r="M114" s="67">
        <v>0</v>
      </c>
      <c r="N114" s="67">
        <f>O114+P114</f>
        <v>0</v>
      </c>
      <c r="O114" s="67">
        <v>0</v>
      </c>
      <c r="P114" s="67">
        <v>0</v>
      </c>
      <c r="Q114" s="67">
        <v>0</v>
      </c>
      <c r="R114" s="89"/>
      <c r="S114" s="89"/>
      <c r="T114" s="89"/>
      <c r="U114" s="89"/>
      <c r="V114" s="89"/>
    </row>
    <row r="115" spans="1:22" ht="28" customHeight="1" x14ac:dyDescent="0.35">
      <c r="A115" s="262"/>
      <c r="B115" s="251"/>
      <c r="C115" s="90"/>
      <c r="D115" s="73"/>
      <c r="E115" s="19"/>
      <c r="F115" s="66" t="s">
        <v>109</v>
      </c>
      <c r="G115" s="74">
        <f t="shared" si="56"/>
        <v>15000000</v>
      </c>
      <c r="H115" s="74">
        <f t="shared" si="57"/>
        <v>11179488</v>
      </c>
      <c r="I115" s="74">
        <f t="shared" si="57"/>
        <v>3820512</v>
      </c>
      <c r="J115" s="74">
        <f>K115+L115</f>
        <v>15000000</v>
      </c>
      <c r="K115" s="74">
        <v>11179488</v>
      </c>
      <c r="L115" s="74">
        <v>3820512</v>
      </c>
      <c r="M115" s="74">
        <v>0</v>
      </c>
      <c r="N115" s="74">
        <f>O115+P115</f>
        <v>0</v>
      </c>
      <c r="O115" s="74">
        <v>0</v>
      </c>
      <c r="P115" s="74">
        <v>0</v>
      </c>
      <c r="Q115" s="74">
        <v>0</v>
      </c>
      <c r="R115" s="89"/>
      <c r="S115" s="89"/>
      <c r="T115" s="89"/>
      <c r="U115" s="89"/>
      <c r="V115" s="89"/>
    </row>
    <row r="116" spans="1:22" ht="28" customHeight="1" x14ac:dyDescent="0.35">
      <c r="A116" s="262" t="s">
        <v>127</v>
      </c>
      <c r="B116" s="251" t="s">
        <v>128</v>
      </c>
      <c r="C116" s="56">
        <f>C117</f>
        <v>16274405</v>
      </c>
      <c r="D116" s="57">
        <f>D117</f>
        <v>0</v>
      </c>
      <c r="E116" s="58">
        <f>E117</f>
        <v>0</v>
      </c>
      <c r="F116" s="59" t="s">
        <v>129</v>
      </c>
      <c r="G116" s="58">
        <f t="shared" si="56"/>
        <v>140484500</v>
      </c>
      <c r="H116" s="58">
        <f t="shared" si="57"/>
        <v>125990445</v>
      </c>
      <c r="I116" s="58">
        <f t="shared" si="57"/>
        <v>14494055</v>
      </c>
      <c r="J116" s="58">
        <f>J117</f>
        <v>140484500</v>
      </c>
      <c r="K116" s="58">
        <f t="shared" ref="K116:Q116" si="66">K117</f>
        <v>125990445</v>
      </c>
      <c r="L116" s="58">
        <f t="shared" si="66"/>
        <v>14494055</v>
      </c>
      <c r="M116" s="58">
        <f t="shared" si="66"/>
        <v>0</v>
      </c>
      <c r="N116" s="58">
        <f t="shared" si="66"/>
        <v>0</v>
      </c>
      <c r="O116" s="58">
        <f t="shared" si="66"/>
        <v>0</v>
      </c>
      <c r="P116" s="58">
        <f t="shared" si="66"/>
        <v>0</v>
      </c>
      <c r="Q116" s="58">
        <f t="shared" si="66"/>
        <v>0</v>
      </c>
      <c r="R116" s="89"/>
      <c r="S116" s="89"/>
      <c r="T116" s="89"/>
      <c r="U116" s="89"/>
      <c r="V116" s="89"/>
    </row>
    <row r="117" spans="1:22" ht="28" customHeight="1" x14ac:dyDescent="0.35">
      <c r="A117" s="262"/>
      <c r="B117" s="251"/>
      <c r="C117" s="69">
        <f>G119+G120</f>
        <v>16274405</v>
      </c>
      <c r="D117" s="60">
        <v>0</v>
      </c>
      <c r="E117" s="60">
        <v>0</v>
      </c>
      <c r="F117" s="61" t="s">
        <v>107</v>
      </c>
      <c r="G117" s="60">
        <f t="shared" si="56"/>
        <v>140484500</v>
      </c>
      <c r="H117" s="60">
        <f t="shared" si="57"/>
        <v>125990445</v>
      </c>
      <c r="I117" s="60">
        <f t="shared" si="57"/>
        <v>14494055</v>
      </c>
      <c r="J117" s="60">
        <f>J118+J119+J120</f>
        <v>140484500</v>
      </c>
      <c r="K117" s="60">
        <f t="shared" ref="K117:Q117" si="67">K118+K119+K120</f>
        <v>125990445</v>
      </c>
      <c r="L117" s="60">
        <f t="shared" si="67"/>
        <v>14494055</v>
      </c>
      <c r="M117" s="60">
        <f t="shared" si="67"/>
        <v>0</v>
      </c>
      <c r="N117" s="60">
        <f t="shared" si="67"/>
        <v>0</v>
      </c>
      <c r="O117" s="60">
        <f t="shared" si="67"/>
        <v>0</v>
      </c>
      <c r="P117" s="60">
        <f t="shared" si="67"/>
        <v>0</v>
      </c>
      <c r="Q117" s="60">
        <f t="shared" si="67"/>
        <v>0</v>
      </c>
      <c r="R117" s="89"/>
      <c r="S117" s="89"/>
      <c r="T117" s="89"/>
      <c r="U117" s="89"/>
      <c r="V117" s="89"/>
    </row>
    <row r="118" spans="1:22" ht="28" customHeight="1" x14ac:dyDescent="0.35">
      <c r="A118" s="262"/>
      <c r="B118" s="251"/>
      <c r="C118" s="78"/>
      <c r="D118" s="73"/>
      <c r="E118" s="73"/>
      <c r="F118" s="66" t="s">
        <v>108</v>
      </c>
      <c r="G118" s="67">
        <f t="shared" si="56"/>
        <v>124210095</v>
      </c>
      <c r="H118" s="67">
        <f t="shared" si="57"/>
        <v>112462065</v>
      </c>
      <c r="I118" s="67">
        <f t="shared" si="57"/>
        <v>11748030</v>
      </c>
      <c r="J118" s="67">
        <f>K118+L118</f>
        <v>124210095</v>
      </c>
      <c r="K118" s="67">
        <v>112462065</v>
      </c>
      <c r="L118" s="67">
        <v>11748030</v>
      </c>
      <c r="M118" s="67">
        <v>0</v>
      </c>
      <c r="N118" s="67">
        <f>O118+P118</f>
        <v>0</v>
      </c>
      <c r="O118" s="67">
        <v>0</v>
      </c>
      <c r="P118" s="67">
        <v>0</v>
      </c>
      <c r="Q118" s="67">
        <v>0</v>
      </c>
      <c r="R118" s="89"/>
      <c r="S118" s="89"/>
      <c r="T118" s="89"/>
      <c r="U118" s="89"/>
      <c r="V118" s="89"/>
    </row>
    <row r="119" spans="1:22" ht="28" customHeight="1" x14ac:dyDescent="0.35">
      <c r="A119" s="262"/>
      <c r="B119" s="251"/>
      <c r="C119" s="78"/>
      <c r="D119" s="73"/>
      <c r="E119" s="73"/>
      <c r="F119" s="66" t="s">
        <v>113</v>
      </c>
      <c r="G119" s="71">
        <f t="shared" si="56"/>
        <v>7808062</v>
      </c>
      <c r="H119" s="71">
        <f t="shared" si="57"/>
        <v>7030107</v>
      </c>
      <c r="I119" s="71">
        <f t="shared" si="57"/>
        <v>777955</v>
      </c>
      <c r="J119" s="71">
        <f>K119+L119</f>
        <v>7808062</v>
      </c>
      <c r="K119" s="71">
        <f>8901684-871577-1000000</f>
        <v>7030107</v>
      </c>
      <c r="L119" s="71">
        <f>7777955-7000000</f>
        <v>777955</v>
      </c>
      <c r="M119" s="71">
        <v>0</v>
      </c>
      <c r="N119" s="71">
        <f>O119+P119</f>
        <v>0</v>
      </c>
      <c r="O119" s="71">
        <v>0</v>
      </c>
      <c r="P119" s="71">
        <v>0</v>
      </c>
      <c r="Q119" s="71">
        <v>0</v>
      </c>
      <c r="R119" s="89"/>
      <c r="S119" s="89"/>
      <c r="T119" s="89"/>
      <c r="U119" s="89"/>
      <c r="V119" s="89"/>
    </row>
    <row r="120" spans="1:22" ht="28" customHeight="1" x14ac:dyDescent="0.35">
      <c r="A120" s="262"/>
      <c r="B120" s="251"/>
      <c r="C120" s="78"/>
      <c r="D120" s="73"/>
      <c r="E120" s="73"/>
      <c r="F120" s="66" t="s">
        <v>114</v>
      </c>
      <c r="G120" s="71">
        <f t="shared" si="56"/>
        <v>8466343</v>
      </c>
      <c r="H120" s="71">
        <f t="shared" si="57"/>
        <v>6498273</v>
      </c>
      <c r="I120" s="71">
        <f t="shared" si="57"/>
        <v>1968070</v>
      </c>
      <c r="J120" s="71">
        <f>K120+L120</f>
        <v>8466343</v>
      </c>
      <c r="K120" s="71">
        <f>5103806+1394467</f>
        <v>6498273</v>
      </c>
      <c r="L120" s="71">
        <f>1451845+516225</f>
        <v>1968070</v>
      </c>
      <c r="M120" s="71">
        <v>0</v>
      </c>
      <c r="N120" s="71">
        <f>O120+P120</f>
        <v>0</v>
      </c>
      <c r="O120" s="71">
        <v>0</v>
      </c>
      <c r="P120" s="71">
        <v>0</v>
      </c>
      <c r="Q120" s="71">
        <v>0</v>
      </c>
      <c r="R120" s="89"/>
      <c r="S120" s="89"/>
      <c r="T120" s="89"/>
      <c r="U120" s="89"/>
      <c r="V120" s="89"/>
    </row>
    <row r="121" spans="1:22" ht="28" customHeight="1" x14ac:dyDescent="0.35">
      <c r="A121" s="262" t="s">
        <v>130</v>
      </c>
      <c r="B121" s="251" t="s">
        <v>131</v>
      </c>
      <c r="C121" s="56">
        <f>C122</f>
        <v>0</v>
      </c>
      <c r="D121" s="57">
        <f>D122</f>
        <v>0</v>
      </c>
      <c r="E121" s="58">
        <f>E122</f>
        <v>0</v>
      </c>
      <c r="F121" s="59" t="s">
        <v>132</v>
      </c>
      <c r="G121" s="58">
        <f t="shared" si="56"/>
        <v>142605649</v>
      </c>
      <c r="H121" s="58">
        <f t="shared" si="57"/>
        <v>114551649</v>
      </c>
      <c r="I121" s="58">
        <f t="shared" si="57"/>
        <v>28054000</v>
      </c>
      <c r="J121" s="58">
        <f>J122</f>
        <v>142605649</v>
      </c>
      <c r="K121" s="58">
        <f t="shared" ref="K121:Q122" si="68">K122</f>
        <v>114551649</v>
      </c>
      <c r="L121" s="58">
        <f t="shared" si="68"/>
        <v>28054000</v>
      </c>
      <c r="M121" s="58">
        <f t="shared" si="68"/>
        <v>0</v>
      </c>
      <c r="N121" s="58">
        <f t="shared" si="68"/>
        <v>0</v>
      </c>
      <c r="O121" s="58">
        <f t="shared" si="68"/>
        <v>0</v>
      </c>
      <c r="P121" s="58">
        <f t="shared" si="68"/>
        <v>0</v>
      </c>
      <c r="Q121" s="58">
        <f t="shared" si="68"/>
        <v>0</v>
      </c>
      <c r="R121" s="89"/>
      <c r="S121" s="89"/>
      <c r="T121" s="89"/>
      <c r="U121" s="89"/>
      <c r="V121" s="89"/>
    </row>
    <row r="122" spans="1:22" ht="28" customHeight="1" x14ac:dyDescent="0.35">
      <c r="A122" s="262"/>
      <c r="B122" s="251"/>
      <c r="C122" s="60">
        <v>0</v>
      </c>
      <c r="D122" s="60">
        <v>0</v>
      </c>
      <c r="E122" s="60">
        <v>0</v>
      </c>
      <c r="F122" s="61" t="s">
        <v>107</v>
      </c>
      <c r="G122" s="60">
        <f t="shared" si="56"/>
        <v>142605649</v>
      </c>
      <c r="H122" s="60">
        <f t="shared" si="57"/>
        <v>114551649</v>
      </c>
      <c r="I122" s="60">
        <f t="shared" si="57"/>
        <v>28054000</v>
      </c>
      <c r="J122" s="60">
        <f>J123</f>
        <v>142605649</v>
      </c>
      <c r="K122" s="60">
        <f t="shared" si="68"/>
        <v>114551649</v>
      </c>
      <c r="L122" s="60">
        <f t="shared" si="68"/>
        <v>28054000</v>
      </c>
      <c r="M122" s="60">
        <f t="shared" si="68"/>
        <v>0</v>
      </c>
      <c r="N122" s="60">
        <f t="shared" si="68"/>
        <v>0</v>
      </c>
      <c r="O122" s="60">
        <f t="shared" si="68"/>
        <v>0</v>
      </c>
      <c r="P122" s="60">
        <f t="shared" si="68"/>
        <v>0</v>
      </c>
      <c r="Q122" s="60">
        <f t="shared" si="68"/>
        <v>0</v>
      </c>
      <c r="R122" s="89"/>
      <c r="S122" s="89"/>
      <c r="T122" s="89"/>
      <c r="U122" s="89"/>
      <c r="V122" s="89"/>
    </row>
    <row r="123" spans="1:22" ht="28" customHeight="1" x14ac:dyDescent="0.35">
      <c r="A123" s="262"/>
      <c r="B123" s="251"/>
      <c r="C123" s="90"/>
      <c r="D123" s="73"/>
      <c r="E123" s="73"/>
      <c r="F123" s="66" t="s">
        <v>108</v>
      </c>
      <c r="G123" s="67">
        <f t="shared" si="56"/>
        <v>142605649</v>
      </c>
      <c r="H123" s="67">
        <f t="shared" si="57"/>
        <v>114551649</v>
      </c>
      <c r="I123" s="67">
        <f t="shared" si="57"/>
        <v>28054000</v>
      </c>
      <c r="J123" s="67">
        <f>K123+L123</f>
        <v>142605649</v>
      </c>
      <c r="K123" s="67">
        <v>114551649</v>
      </c>
      <c r="L123" s="67">
        <v>28054000</v>
      </c>
      <c r="M123" s="67">
        <v>0</v>
      </c>
      <c r="N123" s="67">
        <f>O123+P123</f>
        <v>0</v>
      </c>
      <c r="O123" s="67">
        <v>0</v>
      </c>
      <c r="P123" s="67">
        <v>0</v>
      </c>
      <c r="Q123" s="67">
        <v>0</v>
      </c>
      <c r="R123" s="89"/>
      <c r="S123" s="89"/>
      <c r="T123" s="89"/>
      <c r="U123" s="89"/>
      <c r="V123" s="89"/>
    </row>
    <row r="124" spans="1:22" ht="28" customHeight="1" x14ac:dyDescent="0.35">
      <c r="A124" s="262" t="s">
        <v>133</v>
      </c>
      <c r="B124" s="251" t="s">
        <v>134</v>
      </c>
      <c r="C124" s="56">
        <f>C125</f>
        <v>0</v>
      </c>
      <c r="D124" s="57">
        <f>D125</f>
        <v>0</v>
      </c>
      <c r="E124" s="58">
        <f>E125</f>
        <v>0</v>
      </c>
      <c r="F124" s="59" t="s">
        <v>135</v>
      </c>
      <c r="G124" s="58">
        <f t="shared" si="56"/>
        <v>13096436</v>
      </c>
      <c r="H124" s="58">
        <f t="shared" si="57"/>
        <v>13096436</v>
      </c>
      <c r="I124" s="58">
        <f t="shared" si="57"/>
        <v>0</v>
      </c>
      <c r="J124" s="58">
        <f>J125</f>
        <v>13096436</v>
      </c>
      <c r="K124" s="58">
        <f t="shared" ref="K124:Q125" si="69">K125</f>
        <v>13096436</v>
      </c>
      <c r="L124" s="58">
        <f t="shared" si="69"/>
        <v>0</v>
      </c>
      <c r="M124" s="58">
        <f t="shared" si="69"/>
        <v>0</v>
      </c>
      <c r="N124" s="58">
        <f t="shared" si="69"/>
        <v>0</v>
      </c>
      <c r="O124" s="58">
        <f t="shared" si="69"/>
        <v>0</v>
      </c>
      <c r="P124" s="58">
        <f t="shared" si="69"/>
        <v>0</v>
      </c>
      <c r="Q124" s="58">
        <f t="shared" si="69"/>
        <v>0</v>
      </c>
      <c r="R124" s="89"/>
      <c r="S124" s="89"/>
      <c r="T124" s="89"/>
      <c r="U124" s="89"/>
      <c r="V124" s="89"/>
    </row>
    <row r="125" spans="1:22" ht="28" customHeight="1" x14ac:dyDescent="0.35">
      <c r="A125" s="262"/>
      <c r="B125" s="251"/>
      <c r="C125" s="60">
        <v>0</v>
      </c>
      <c r="D125" s="60">
        <v>0</v>
      </c>
      <c r="E125" s="60">
        <v>0</v>
      </c>
      <c r="F125" s="61" t="s">
        <v>107</v>
      </c>
      <c r="G125" s="60">
        <f t="shared" si="56"/>
        <v>13096436</v>
      </c>
      <c r="H125" s="60">
        <f t="shared" si="57"/>
        <v>13096436</v>
      </c>
      <c r="I125" s="60">
        <f t="shared" si="57"/>
        <v>0</v>
      </c>
      <c r="J125" s="60">
        <f>J126</f>
        <v>13096436</v>
      </c>
      <c r="K125" s="60">
        <f t="shared" si="69"/>
        <v>13096436</v>
      </c>
      <c r="L125" s="60">
        <f t="shared" si="69"/>
        <v>0</v>
      </c>
      <c r="M125" s="60">
        <f t="shared" si="69"/>
        <v>0</v>
      </c>
      <c r="N125" s="60">
        <f t="shared" si="69"/>
        <v>0</v>
      </c>
      <c r="O125" s="60">
        <f t="shared" si="69"/>
        <v>0</v>
      </c>
      <c r="P125" s="60">
        <f t="shared" si="69"/>
        <v>0</v>
      </c>
      <c r="Q125" s="60">
        <f t="shared" si="69"/>
        <v>0</v>
      </c>
      <c r="R125" s="89"/>
      <c r="S125" s="89"/>
      <c r="T125" s="89"/>
      <c r="U125" s="89"/>
      <c r="V125" s="89"/>
    </row>
    <row r="126" spans="1:22" ht="28" customHeight="1" x14ac:dyDescent="0.35">
      <c r="A126" s="262"/>
      <c r="B126" s="251"/>
      <c r="C126" s="90"/>
      <c r="D126" s="73"/>
      <c r="E126" s="73"/>
      <c r="F126" s="66" t="s">
        <v>108</v>
      </c>
      <c r="G126" s="67">
        <f t="shared" si="56"/>
        <v>13096436</v>
      </c>
      <c r="H126" s="67">
        <f t="shared" si="57"/>
        <v>13096436</v>
      </c>
      <c r="I126" s="67">
        <f t="shared" si="57"/>
        <v>0</v>
      </c>
      <c r="J126" s="67">
        <f>K126+L126</f>
        <v>13096436</v>
      </c>
      <c r="K126" s="67">
        <v>13096436</v>
      </c>
      <c r="L126" s="67">
        <v>0</v>
      </c>
      <c r="M126" s="67">
        <v>0</v>
      </c>
      <c r="N126" s="67">
        <f>O126+P126</f>
        <v>0</v>
      </c>
      <c r="O126" s="67">
        <v>0</v>
      </c>
      <c r="P126" s="67">
        <v>0</v>
      </c>
      <c r="Q126" s="67">
        <v>0</v>
      </c>
      <c r="R126" s="89"/>
      <c r="S126" s="89"/>
      <c r="T126" s="89"/>
      <c r="U126" s="89"/>
      <c r="V126" s="89"/>
    </row>
    <row r="127" spans="1:22" ht="52" x14ac:dyDescent="0.35">
      <c r="A127" s="87" t="s">
        <v>136</v>
      </c>
      <c r="B127" s="88" t="s">
        <v>137</v>
      </c>
      <c r="C127" s="52">
        <f t="shared" ref="C127:E128" si="70">C128</f>
        <v>0</v>
      </c>
      <c r="D127" s="52">
        <f t="shared" si="70"/>
        <v>0</v>
      </c>
      <c r="E127" s="53">
        <f t="shared" si="70"/>
        <v>0</v>
      </c>
      <c r="F127" s="54" t="s">
        <v>138</v>
      </c>
      <c r="G127" s="52">
        <f t="shared" si="56"/>
        <v>33900000</v>
      </c>
      <c r="H127" s="52">
        <f t="shared" si="57"/>
        <v>24704700</v>
      </c>
      <c r="I127" s="52">
        <f t="shared" si="57"/>
        <v>9195300</v>
      </c>
      <c r="J127" s="52">
        <f>J128</f>
        <v>33900000</v>
      </c>
      <c r="K127" s="52">
        <f t="shared" ref="K127:Q129" si="71">K128</f>
        <v>24704700</v>
      </c>
      <c r="L127" s="52">
        <f t="shared" si="71"/>
        <v>9195300</v>
      </c>
      <c r="M127" s="52">
        <f t="shared" si="71"/>
        <v>0</v>
      </c>
      <c r="N127" s="52">
        <f t="shared" si="71"/>
        <v>0</v>
      </c>
      <c r="O127" s="52">
        <f t="shared" si="71"/>
        <v>0</v>
      </c>
      <c r="P127" s="52">
        <f t="shared" si="71"/>
        <v>0</v>
      </c>
      <c r="Q127" s="52">
        <f t="shared" si="71"/>
        <v>0</v>
      </c>
      <c r="R127" s="89"/>
      <c r="S127" s="89"/>
      <c r="T127" s="89"/>
      <c r="U127" s="89"/>
      <c r="V127" s="89"/>
    </row>
    <row r="128" spans="1:22" ht="28" customHeight="1" x14ac:dyDescent="0.35">
      <c r="A128" s="262" t="s">
        <v>139</v>
      </c>
      <c r="B128" s="251" t="s">
        <v>140</v>
      </c>
      <c r="C128" s="56">
        <f t="shared" si="70"/>
        <v>0</v>
      </c>
      <c r="D128" s="57">
        <f t="shared" si="70"/>
        <v>0</v>
      </c>
      <c r="E128" s="58">
        <f t="shared" si="70"/>
        <v>0</v>
      </c>
      <c r="F128" s="59" t="s">
        <v>141</v>
      </c>
      <c r="G128" s="58">
        <f t="shared" si="56"/>
        <v>33900000</v>
      </c>
      <c r="H128" s="58">
        <f t="shared" si="57"/>
        <v>24704700</v>
      </c>
      <c r="I128" s="58">
        <f t="shared" si="57"/>
        <v>9195300</v>
      </c>
      <c r="J128" s="58">
        <f>J129</f>
        <v>33900000</v>
      </c>
      <c r="K128" s="58">
        <f t="shared" si="71"/>
        <v>24704700</v>
      </c>
      <c r="L128" s="58">
        <f t="shared" si="71"/>
        <v>9195300</v>
      </c>
      <c r="M128" s="58">
        <f t="shared" si="71"/>
        <v>0</v>
      </c>
      <c r="N128" s="58">
        <f t="shared" si="71"/>
        <v>0</v>
      </c>
      <c r="O128" s="58">
        <f t="shared" si="71"/>
        <v>0</v>
      </c>
      <c r="P128" s="58">
        <f t="shared" si="71"/>
        <v>0</v>
      </c>
      <c r="Q128" s="58">
        <f t="shared" si="71"/>
        <v>0</v>
      </c>
      <c r="R128" s="89"/>
      <c r="S128" s="89"/>
      <c r="T128" s="89"/>
      <c r="U128" s="89"/>
      <c r="V128" s="89"/>
    </row>
    <row r="129" spans="1:22" ht="28" customHeight="1" x14ac:dyDescent="0.35">
      <c r="A129" s="262"/>
      <c r="B129" s="251"/>
      <c r="C129" s="60">
        <v>0</v>
      </c>
      <c r="D129" s="60">
        <v>0</v>
      </c>
      <c r="E129" s="60">
        <v>0</v>
      </c>
      <c r="F129" s="61" t="s">
        <v>107</v>
      </c>
      <c r="G129" s="60">
        <f t="shared" si="56"/>
        <v>33900000</v>
      </c>
      <c r="H129" s="60">
        <f t="shared" si="57"/>
        <v>24704700</v>
      </c>
      <c r="I129" s="60">
        <f t="shared" si="57"/>
        <v>9195300</v>
      </c>
      <c r="J129" s="60">
        <f>J130</f>
        <v>33900000</v>
      </c>
      <c r="K129" s="60">
        <f t="shared" si="71"/>
        <v>24704700</v>
      </c>
      <c r="L129" s="60">
        <f t="shared" si="71"/>
        <v>9195300</v>
      </c>
      <c r="M129" s="60">
        <f t="shared" si="71"/>
        <v>0</v>
      </c>
      <c r="N129" s="60">
        <f t="shared" si="71"/>
        <v>0</v>
      </c>
      <c r="O129" s="60">
        <f t="shared" si="71"/>
        <v>0</v>
      </c>
      <c r="P129" s="60">
        <f t="shared" si="71"/>
        <v>0</v>
      </c>
      <c r="Q129" s="60">
        <f t="shared" si="71"/>
        <v>0</v>
      </c>
      <c r="R129" s="89"/>
      <c r="S129" s="89"/>
      <c r="T129" s="89"/>
      <c r="U129" s="89"/>
      <c r="V129" s="89"/>
    </row>
    <row r="130" spans="1:22" ht="28" customHeight="1" x14ac:dyDescent="0.35">
      <c r="A130" s="262"/>
      <c r="B130" s="251"/>
      <c r="C130" s="90"/>
      <c r="D130" s="73"/>
      <c r="E130" s="19"/>
      <c r="F130" s="66" t="s">
        <v>108</v>
      </c>
      <c r="G130" s="67">
        <f t="shared" si="56"/>
        <v>33900000</v>
      </c>
      <c r="H130" s="67">
        <f t="shared" si="57"/>
        <v>24704700</v>
      </c>
      <c r="I130" s="67">
        <f t="shared" si="57"/>
        <v>9195300</v>
      </c>
      <c r="J130" s="67">
        <f>K130+L130</f>
        <v>33900000</v>
      </c>
      <c r="K130" s="67">
        <v>24704700</v>
      </c>
      <c r="L130" s="67">
        <v>9195300</v>
      </c>
      <c r="M130" s="67">
        <v>0</v>
      </c>
      <c r="N130" s="67">
        <f>O130+P130</f>
        <v>0</v>
      </c>
      <c r="O130" s="67">
        <v>0</v>
      </c>
      <c r="P130" s="67">
        <v>0</v>
      </c>
      <c r="Q130" s="67">
        <v>0</v>
      </c>
      <c r="R130" s="89"/>
      <c r="S130" s="89"/>
      <c r="T130" s="89"/>
      <c r="U130" s="89"/>
      <c r="V130" s="89"/>
    </row>
    <row r="131" spans="1:22" ht="30" customHeight="1" x14ac:dyDescent="0.35">
      <c r="A131" s="45" t="s">
        <v>142</v>
      </c>
      <c r="B131" s="46" t="s">
        <v>143</v>
      </c>
      <c r="C131" s="47">
        <f>C132+C162+C213+C242</f>
        <v>387771698</v>
      </c>
      <c r="D131" s="47">
        <f>D132+D162+D213+D242</f>
        <v>75000000</v>
      </c>
      <c r="E131" s="48">
        <f>E132+E162+E213+E242</f>
        <v>40000000</v>
      </c>
      <c r="F131" s="49"/>
      <c r="G131" s="48">
        <f>G132+G162+G213+G242</f>
        <v>2014329838</v>
      </c>
      <c r="H131" s="48">
        <f t="shared" ref="H131:Q131" si="72">H132+H162+H213+H242</f>
        <v>1147188747</v>
      </c>
      <c r="I131" s="48">
        <f t="shared" si="72"/>
        <v>59642171</v>
      </c>
      <c r="J131" s="48">
        <f>J132+J162+J213+J242</f>
        <v>1206830918</v>
      </c>
      <c r="K131" s="48">
        <f t="shared" si="72"/>
        <v>1147188747</v>
      </c>
      <c r="L131" s="48">
        <f t="shared" si="72"/>
        <v>59642171</v>
      </c>
      <c r="M131" s="48">
        <f t="shared" si="72"/>
        <v>807498920</v>
      </c>
      <c r="N131" s="48">
        <f t="shared" si="72"/>
        <v>0</v>
      </c>
      <c r="O131" s="48">
        <f t="shared" si="72"/>
        <v>0</v>
      </c>
      <c r="P131" s="48">
        <f t="shared" si="72"/>
        <v>0</v>
      </c>
      <c r="Q131" s="48">
        <f t="shared" si="72"/>
        <v>0</v>
      </c>
      <c r="R131" s="89"/>
      <c r="S131" s="89"/>
      <c r="T131" s="89"/>
      <c r="U131" s="89"/>
      <c r="V131" s="89"/>
    </row>
    <row r="132" spans="1:22" ht="78" x14ac:dyDescent="0.35">
      <c r="A132" s="87" t="s">
        <v>144</v>
      </c>
      <c r="B132" s="88" t="s">
        <v>145</v>
      </c>
      <c r="C132" s="52">
        <f>C133+C138+C141+C144+C147+C150+C153+C156+C159</f>
        <v>40379006</v>
      </c>
      <c r="D132" s="52">
        <f>D133+D138+D141+D144+D147+D150+D153+D156+D159</f>
        <v>0</v>
      </c>
      <c r="E132" s="53">
        <f>E133+E138+E141+E144+E147+E150+E153+E156+E159</f>
        <v>0</v>
      </c>
      <c r="F132" s="54" t="s">
        <v>146</v>
      </c>
      <c r="G132" s="52">
        <f>J132+M132+N132+Q132</f>
        <v>321638232</v>
      </c>
      <c r="H132" s="52">
        <f>K132+O132</f>
        <v>147779006</v>
      </c>
      <c r="I132" s="52">
        <f>L132+P132</f>
        <v>0</v>
      </c>
      <c r="J132" s="52">
        <f>J133+J138+J141+J144+J147+J150+J153+J156+J159</f>
        <v>147779006</v>
      </c>
      <c r="K132" s="52">
        <f t="shared" ref="K132:Q132" si="73">K133+K138+K141+K144+K147+K150+K153+K156+K159</f>
        <v>147779006</v>
      </c>
      <c r="L132" s="52">
        <f t="shared" si="73"/>
        <v>0</v>
      </c>
      <c r="M132" s="52">
        <f t="shared" si="73"/>
        <v>173859226</v>
      </c>
      <c r="N132" s="52">
        <f t="shared" si="73"/>
        <v>0</v>
      </c>
      <c r="O132" s="52">
        <f t="shared" si="73"/>
        <v>0</v>
      </c>
      <c r="P132" s="52">
        <f t="shared" si="73"/>
        <v>0</v>
      </c>
      <c r="Q132" s="52">
        <f t="shared" si="73"/>
        <v>0</v>
      </c>
      <c r="R132" s="89"/>
      <c r="S132" s="89"/>
      <c r="T132" s="89"/>
      <c r="U132" s="89"/>
      <c r="V132" s="89"/>
    </row>
    <row r="133" spans="1:22" ht="28" customHeight="1" x14ac:dyDescent="0.35">
      <c r="A133" s="267" t="s">
        <v>147</v>
      </c>
      <c r="B133" s="215" t="s">
        <v>148</v>
      </c>
      <c r="C133" s="56">
        <f>C134</f>
        <v>40379006</v>
      </c>
      <c r="D133" s="57">
        <f>D134</f>
        <v>0</v>
      </c>
      <c r="E133" s="58">
        <f>E134</f>
        <v>0</v>
      </c>
      <c r="F133" s="59" t="s">
        <v>149</v>
      </c>
      <c r="G133" s="58">
        <f t="shared" ref="G133:G161" si="74">J133+M133+N133+Q133</f>
        <v>105472991</v>
      </c>
      <c r="H133" s="58">
        <f t="shared" ref="H133:I161" si="75">K133+O133</f>
        <v>40379006</v>
      </c>
      <c r="I133" s="58">
        <f t="shared" si="75"/>
        <v>0</v>
      </c>
      <c r="J133" s="58">
        <f>J134</f>
        <v>40379006</v>
      </c>
      <c r="K133" s="58">
        <f t="shared" ref="K133:Q133" si="76">K134</f>
        <v>40379006</v>
      </c>
      <c r="L133" s="58">
        <f t="shared" si="76"/>
        <v>0</v>
      </c>
      <c r="M133" s="58">
        <f t="shared" si="76"/>
        <v>65093985</v>
      </c>
      <c r="N133" s="58">
        <f t="shared" si="76"/>
        <v>0</v>
      </c>
      <c r="O133" s="58">
        <f t="shared" si="76"/>
        <v>0</v>
      </c>
      <c r="P133" s="58">
        <f t="shared" si="76"/>
        <v>0</v>
      </c>
      <c r="Q133" s="58">
        <f t="shared" si="76"/>
        <v>0</v>
      </c>
      <c r="R133" s="89"/>
      <c r="S133" s="89"/>
      <c r="T133" s="89"/>
      <c r="U133" s="89"/>
      <c r="V133" s="89"/>
    </row>
    <row r="134" spans="1:22" ht="28" customHeight="1" x14ac:dyDescent="0.35">
      <c r="A134" s="267"/>
      <c r="B134" s="215"/>
      <c r="C134" s="99">
        <f>G136+G137</f>
        <v>40379006</v>
      </c>
      <c r="D134" s="60">
        <v>0</v>
      </c>
      <c r="E134" s="60">
        <v>0</v>
      </c>
      <c r="F134" s="61" t="s">
        <v>150</v>
      </c>
      <c r="G134" s="60">
        <f t="shared" si="74"/>
        <v>105472991</v>
      </c>
      <c r="H134" s="60">
        <f t="shared" si="75"/>
        <v>40379006</v>
      </c>
      <c r="I134" s="60">
        <f t="shared" si="75"/>
        <v>0</v>
      </c>
      <c r="J134" s="60">
        <f>J135+J136+J137</f>
        <v>40379006</v>
      </c>
      <c r="K134" s="60">
        <f t="shared" ref="K134:Q134" si="77">K135+K136+K137</f>
        <v>40379006</v>
      </c>
      <c r="L134" s="60">
        <f t="shared" si="77"/>
        <v>0</v>
      </c>
      <c r="M134" s="60">
        <f t="shared" si="77"/>
        <v>65093985</v>
      </c>
      <c r="N134" s="60">
        <f t="shared" si="77"/>
        <v>0</v>
      </c>
      <c r="O134" s="60">
        <f t="shared" si="77"/>
        <v>0</v>
      </c>
      <c r="P134" s="60">
        <f t="shared" si="77"/>
        <v>0</v>
      </c>
      <c r="Q134" s="60">
        <f t="shared" si="77"/>
        <v>0</v>
      </c>
      <c r="R134" s="89"/>
      <c r="S134" s="89"/>
      <c r="T134" s="89"/>
      <c r="U134" s="89"/>
      <c r="V134" s="89"/>
    </row>
    <row r="135" spans="1:22" ht="28" customHeight="1" x14ac:dyDescent="0.35">
      <c r="A135" s="267"/>
      <c r="B135" s="215"/>
      <c r="C135" s="78"/>
      <c r="D135" s="73"/>
      <c r="E135" s="19"/>
      <c r="F135" s="66" t="s">
        <v>151</v>
      </c>
      <c r="G135" s="67">
        <f t="shared" si="74"/>
        <v>65093985</v>
      </c>
      <c r="H135" s="67">
        <f t="shared" si="75"/>
        <v>0</v>
      </c>
      <c r="I135" s="67">
        <f t="shared" si="75"/>
        <v>0</v>
      </c>
      <c r="J135" s="67">
        <f>K135+L135</f>
        <v>0</v>
      </c>
      <c r="K135" s="67">
        <v>0</v>
      </c>
      <c r="L135" s="67">
        <v>0</v>
      </c>
      <c r="M135" s="67">
        <v>65093985</v>
      </c>
      <c r="N135" s="67">
        <f>O135+P135</f>
        <v>0</v>
      </c>
      <c r="O135" s="67">
        <v>0</v>
      </c>
      <c r="P135" s="67">
        <v>0</v>
      </c>
      <c r="Q135" s="67">
        <v>0</v>
      </c>
      <c r="R135" s="89"/>
      <c r="S135" s="89"/>
      <c r="T135" s="89"/>
      <c r="U135" s="89"/>
      <c r="V135" s="89"/>
    </row>
    <row r="136" spans="1:22" ht="28" customHeight="1" x14ac:dyDescent="0.35">
      <c r="A136" s="267"/>
      <c r="B136" s="215"/>
      <c r="C136" s="100"/>
      <c r="D136" s="73"/>
      <c r="E136" s="19"/>
      <c r="F136" s="66" t="s">
        <v>152</v>
      </c>
      <c r="G136" s="71">
        <f t="shared" si="74"/>
        <v>10115361</v>
      </c>
      <c r="H136" s="71">
        <f t="shared" si="75"/>
        <v>10115361</v>
      </c>
      <c r="I136" s="71">
        <f t="shared" si="75"/>
        <v>0</v>
      </c>
      <c r="J136" s="71">
        <f>K136+L136</f>
        <v>10115361</v>
      </c>
      <c r="K136" s="71">
        <f>10659000-543639</f>
        <v>10115361</v>
      </c>
      <c r="L136" s="71">
        <v>0</v>
      </c>
      <c r="M136" s="71">
        <v>0</v>
      </c>
      <c r="N136" s="67">
        <f>O136+P136</f>
        <v>0</v>
      </c>
      <c r="O136" s="67">
        <v>0</v>
      </c>
      <c r="P136" s="67">
        <v>0</v>
      </c>
      <c r="Q136" s="67">
        <v>0</v>
      </c>
      <c r="R136" s="89"/>
      <c r="S136" s="89"/>
      <c r="T136" s="89"/>
      <c r="U136" s="89"/>
      <c r="V136" s="89"/>
    </row>
    <row r="137" spans="1:22" ht="28" customHeight="1" x14ac:dyDescent="0.35">
      <c r="A137" s="267"/>
      <c r="B137" s="215"/>
      <c r="C137" s="100"/>
      <c r="D137" s="73"/>
      <c r="E137" s="19"/>
      <c r="F137" s="66" t="s">
        <v>153</v>
      </c>
      <c r="G137" s="71">
        <f t="shared" si="74"/>
        <v>30263645</v>
      </c>
      <c r="H137" s="71">
        <f t="shared" si="75"/>
        <v>30263645</v>
      </c>
      <c r="I137" s="71">
        <f t="shared" si="75"/>
        <v>0</v>
      </c>
      <c r="J137" s="71">
        <f>K137+L137</f>
        <v>30263645</v>
      </c>
      <c r="K137" s="71">
        <f>52041000+136926+113252+269118+43182-22339833</f>
        <v>30263645</v>
      </c>
      <c r="L137" s="71">
        <v>0</v>
      </c>
      <c r="M137" s="71">
        <v>0</v>
      </c>
      <c r="N137" s="67">
        <f>O137+P137</f>
        <v>0</v>
      </c>
      <c r="O137" s="67">
        <v>0</v>
      </c>
      <c r="P137" s="67">
        <v>0</v>
      </c>
      <c r="Q137" s="67">
        <v>0</v>
      </c>
      <c r="R137" s="89"/>
      <c r="S137" s="89"/>
      <c r="T137" s="89"/>
      <c r="U137" s="89"/>
      <c r="V137" s="89"/>
    </row>
    <row r="138" spans="1:22" ht="28" customHeight="1" x14ac:dyDescent="0.35">
      <c r="A138" s="262" t="s">
        <v>154</v>
      </c>
      <c r="B138" s="265" t="s">
        <v>155</v>
      </c>
      <c r="C138" s="56">
        <f>C139</f>
        <v>0</v>
      </c>
      <c r="D138" s="57">
        <f>D139</f>
        <v>0</v>
      </c>
      <c r="E138" s="58">
        <f>E139</f>
        <v>0</v>
      </c>
      <c r="F138" s="59" t="s">
        <v>156</v>
      </c>
      <c r="G138" s="58">
        <f t="shared" si="74"/>
        <v>5600000</v>
      </c>
      <c r="H138" s="58">
        <f t="shared" si="75"/>
        <v>0</v>
      </c>
      <c r="I138" s="58">
        <f t="shared" si="75"/>
        <v>0</v>
      </c>
      <c r="J138" s="58">
        <f>J139</f>
        <v>0</v>
      </c>
      <c r="K138" s="58">
        <f t="shared" ref="K138:Q139" si="78">K139</f>
        <v>0</v>
      </c>
      <c r="L138" s="58">
        <f t="shared" si="78"/>
        <v>0</v>
      </c>
      <c r="M138" s="58">
        <f t="shared" si="78"/>
        <v>5600000</v>
      </c>
      <c r="N138" s="58">
        <f t="shared" si="78"/>
        <v>0</v>
      </c>
      <c r="O138" s="58">
        <f t="shared" si="78"/>
        <v>0</v>
      </c>
      <c r="P138" s="58">
        <f t="shared" si="78"/>
        <v>0</v>
      </c>
      <c r="Q138" s="58">
        <f t="shared" si="78"/>
        <v>0</v>
      </c>
      <c r="R138" s="89"/>
      <c r="S138" s="89"/>
      <c r="T138" s="89"/>
      <c r="U138" s="89"/>
      <c r="V138" s="89"/>
    </row>
    <row r="139" spans="1:22" ht="28" customHeight="1" x14ac:dyDescent="0.35">
      <c r="A139" s="262"/>
      <c r="B139" s="265"/>
      <c r="C139" s="60">
        <v>0</v>
      </c>
      <c r="D139" s="60">
        <v>0</v>
      </c>
      <c r="E139" s="60">
        <v>0</v>
      </c>
      <c r="F139" s="61" t="s">
        <v>150</v>
      </c>
      <c r="G139" s="60">
        <f t="shared" si="74"/>
        <v>5600000</v>
      </c>
      <c r="H139" s="60">
        <f t="shared" si="75"/>
        <v>0</v>
      </c>
      <c r="I139" s="60">
        <f t="shared" si="75"/>
        <v>0</v>
      </c>
      <c r="J139" s="60">
        <f>J140</f>
        <v>0</v>
      </c>
      <c r="K139" s="60">
        <f t="shared" si="78"/>
        <v>0</v>
      </c>
      <c r="L139" s="60">
        <f t="shared" si="78"/>
        <v>0</v>
      </c>
      <c r="M139" s="60">
        <f t="shared" si="78"/>
        <v>5600000</v>
      </c>
      <c r="N139" s="60">
        <f t="shared" si="78"/>
        <v>0</v>
      </c>
      <c r="O139" s="60">
        <f t="shared" si="78"/>
        <v>0</v>
      </c>
      <c r="P139" s="60">
        <f t="shared" si="78"/>
        <v>0</v>
      </c>
      <c r="Q139" s="60">
        <f t="shared" si="78"/>
        <v>0</v>
      </c>
      <c r="R139" s="89"/>
      <c r="S139" s="89"/>
      <c r="T139" s="89"/>
      <c r="U139" s="89"/>
      <c r="V139" s="89"/>
    </row>
    <row r="140" spans="1:22" ht="28" customHeight="1" x14ac:dyDescent="0.35">
      <c r="A140" s="262"/>
      <c r="B140" s="265"/>
      <c r="C140" s="101"/>
      <c r="D140" s="73"/>
      <c r="E140" s="19"/>
      <c r="F140" s="66" t="s">
        <v>151</v>
      </c>
      <c r="G140" s="67">
        <f t="shared" si="74"/>
        <v>5600000</v>
      </c>
      <c r="H140" s="67">
        <f t="shared" si="75"/>
        <v>0</v>
      </c>
      <c r="I140" s="67">
        <f t="shared" si="75"/>
        <v>0</v>
      </c>
      <c r="J140" s="67">
        <f>K140+L140</f>
        <v>0</v>
      </c>
      <c r="K140" s="67">
        <v>0</v>
      </c>
      <c r="L140" s="67">
        <v>0</v>
      </c>
      <c r="M140" s="67">
        <v>5600000</v>
      </c>
      <c r="N140" s="67">
        <f>O140+P140</f>
        <v>0</v>
      </c>
      <c r="O140" s="67">
        <v>0</v>
      </c>
      <c r="P140" s="67">
        <v>0</v>
      </c>
      <c r="Q140" s="67">
        <v>0</v>
      </c>
      <c r="R140" s="89"/>
      <c r="S140" s="89"/>
      <c r="T140" s="89"/>
      <c r="U140" s="89"/>
      <c r="V140" s="89"/>
    </row>
    <row r="141" spans="1:22" ht="28" customHeight="1" x14ac:dyDescent="0.35">
      <c r="A141" s="262" t="s">
        <v>157</v>
      </c>
      <c r="B141" s="265" t="s">
        <v>158</v>
      </c>
      <c r="C141" s="56">
        <f>C142</f>
        <v>0</v>
      </c>
      <c r="D141" s="57">
        <f>D142</f>
        <v>0</v>
      </c>
      <c r="E141" s="58">
        <f>E142</f>
        <v>0</v>
      </c>
      <c r="F141" s="59" t="s">
        <v>159</v>
      </c>
      <c r="G141" s="58">
        <f t="shared" si="74"/>
        <v>11700000</v>
      </c>
      <c r="H141" s="58">
        <f t="shared" si="75"/>
        <v>0</v>
      </c>
      <c r="I141" s="58">
        <f t="shared" si="75"/>
        <v>0</v>
      </c>
      <c r="J141" s="58">
        <f>J142</f>
        <v>0</v>
      </c>
      <c r="K141" s="58">
        <f t="shared" ref="K141:Q142" si="79">K142</f>
        <v>0</v>
      </c>
      <c r="L141" s="58">
        <f t="shared" si="79"/>
        <v>0</v>
      </c>
      <c r="M141" s="58">
        <f t="shared" si="79"/>
        <v>11700000</v>
      </c>
      <c r="N141" s="58">
        <f t="shared" si="79"/>
        <v>0</v>
      </c>
      <c r="O141" s="58">
        <f t="shared" si="79"/>
        <v>0</v>
      </c>
      <c r="P141" s="58">
        <f t="shared" si="79"/>
        <v>0</v>
      </c>
      <c r="Q141" s="58">
        <f t="shared" si="79"/>
        <v>0</v>
      </c>
      <c r="R141" s="89"/>
      <c r="S141" s="89"/>
      <c r="T141" s="89"/>
      <c r="U141" s="89"/>
      <c r="V141" s="89"/>
    </row>
    <row r="142" spans="1:22" ht="28" customHeight="1" x14ac:dyDescent="0.35">
      <c r="A142" s="262"/>
      <c r="B142" s="265"/>
      <c r="C142" s="60">
        <v>0</v>
      </c>
      <c r="D142" s="60">
        <v>0</v>
      </c>
      <c r="E142" s="60">
        <v>0</v>
      </c>
      <c r="F142" s="61" t="s">
        <v>150</v>
      </c>
      <c r="G142" s="60">
        <f t="shared" si="74"/>
        <v>11700000</v>
      </c>
      <c r="H142" s="60">
        <f t="shared" si="75"/>
        <v>0</v>
      </c>
      <c r="I142" s="60">
        <f t="shared" si="75"/>
        <v>0</v>
      </c>
      <c r="J142" s="60">
        <f>J143</f>
        <v>0</v>
      </c>
      <c r="K142" s="60">
        <f t="shared" si="79"/>
        <v>0</v>
      </c>
      <c r="L142" s="60">
        <f t="shared" si="79"/>
        <v>0</v>
      </c>
      <c r="M142" s="60">
        <f t="shared" si="79"/>
        <v>11700000</v>
      </c>
      <c r="N142" s="60">
        <f t="shared" si="79"/>
        <v>0</v>
      </c>
      <c r="O142" s="60">
        <f t="shared" si="79"/>
        <v>0</v>
      </c>
      <c r="P142" s="60">
        <f t="shared" si="79"/>
        <v>0</v>
      </c>
      <c r="Q142" s="60">
        <f t="shared" si="79"/>
        <v>0</v>
      </c>
      <c r="R142" s="89"/>
      <c r="S142" s="89"/>
      <c r="T142" s="89"/>
      <c r="U142" s="89"/>
      <c r="V142" s="89"/>
    </row>
    <row r="143" spans="1:22" ht="28" customHeight="1" x14ac:dyDescent="0.35">
      <c r="A143" s="262"/>
      <c r="B143" s="265"/>
      <c r="C143" s="101"/>
      <c r="D143" s="73"/>
      <c r="E143" s="19"/>
      <c r="F143" s="66" t="s">
        <v>151</v>
      </c>
      <c r="G143" s="67">
        <f t="shared" si="74"/>
        <v>11700000</v>
      </c>
      <c r="H143" s="67">
        <f t="shared" si="75"/>
        <v>0</v>
      </c>
      <c r="I143" s="67">
        <f t="shared" si="75"/>
        <v>0</v>
      </c>
      <c r="J143" s="67">
        <f>K143+L143</f>
        <v>0</v>
      </c>
      <c r="K143" s="67">
        <v>0</v>
      </c>
      <c r="L143" s="67">
        <v>0</v>
      </c>
      <c r="M143" s="67">
        <v>11700000</v>
      </c>
      <c r="N143" s="67">
        <f>O143+P143</f>
        <v>0</v>
      </c>
      <c r="O143" s="67">
        <v>0</v>
      </c>
      <c r="P143" s="67">
        <v>0</v>
      </c>
      <c r="Q143" s="67">
        <v>0</v>
      </c>
      <c r="R143" s="89"/>
      <c r="S143" s="89"/>
      <c r="T143" s="89"/>
      <c r="U143" s="89"/>
      <c r="V143" s="89"/>
    </row>
    <row r="144" spans="1:22" ht="28" customHeight="1" x14ac:dyDescent="0.35">
      <c r="A144" s="262" t="s">
        <v>160</v>
      </c>
      <c r="B144" s="265" t="s">
        <v>161</v>
      </c>
      <c r="C144" s="56">
        <f>C145</f>
        <v>0</v>
      </c>
      <c r="D144" s="57">
        <f>D145</f>
        <v>0</v>
      </c>
      <c r="E144" s="58">
        <f>E145</f>
        <v>0</v>
      </c>
      <c r="F144" s="59" t="s">
        <v>162</v>
      </c>
      <c r="G144" s="58">
        <f t="shared" si="74"/>
        <v>90465241</v>
      </c>
      <c r="H144" s="58">
        <f t="shared" si="75"/>
        <v>0</v>
      </c>
      <c r="I144" s="58">
        <f t="shared" si="75"/>
        <v>0</v>
      </c>
      <c r="J144" s="58">
        <f>J145</f>
        <v>0</v>
      </c>
      <c r="K144" s="58">
        <f t="shared" ref="K144:Q145" si="80">K145</f>
        <v>0</v>
      </c>
      <c r="L144" s="58">
        <f t="shared" si="80"/>
        <v>0</v>
      </c>
      <c r="M144" s="58">
        <f t="shared" si="80"/>
        <v>90465241</v>
      </c>
      <c r="N144" s="58">
        <f t="shared" si="80"/>
        <v>0</v>
      </c>
      <c r="O144" s="58">
        <f t="shared" si="80"/>
        <v>0</v>
      </c>
      <c r="P144" s="58">
        <f t="shared" si="80"/>
        <v>0</v>
      </c>
      <c r="Q144" s="58">
        <f t="shared" si="80"/>
        <v>0</v>
      </c>
      <c r="R144" s="89"/>
      <c r="S144" s="89"/>
      <c r="T144" s="89"/>
      <c r="U144" s="89"/>
      <c r="V144" s="89"/>
    </row>
    <row r="145" spans="1:22" ht="28" customHeight="1" x14ac:dyDescent="0.35">
      <c r="A145" s="262"/>
      <c r="B145" s="265"/>
      <c r="C145" s="60">
        <v>0</v>
      </c>
      <c r="D145" s="60">
        <v>0</v>
      </c>
      <c r="E145" s="60">
        <v>0</v>
      </c>
      <c r="F145" s="61" t="s">
        <v>150</v>
      </c>
      <c r="G145" s="60">
        <f t="shared" si="74"/>
        <v>90465241</v>
      </c>
      <c r="H145" s="60">
        <f t="shared" si="75"/>
        <v>0</v>
      </c>
      <c r="I145" s="60">
        <f t="shared" si="75"/>
        <v>0</v>
      </c>
      <c r="J145" s="60">
        <f>J146</f>
        <v>0</v>
      </c>
      <c r="K145" s="60">
        <f t="shared" si="80"/>
        <v>0</v>
      </c>
      <c r="L145" s="60">
        <f t="shared" si="80"/>
        <v>0</v>
      </c>
      <c r="M145" s="60">
        <f t="shared" si="80"/>
        <v>90465241</v>
      </c>
      <c r="N145" s="60">
        <f t="shared" si="80"/>
        <v>0</v>
      </c>
      <c r="O145" s="60">
        <f t="shared" si="80"/>
        <v>0</v>
      </c>
      <c r="P145" s="60">
        <f t="shared" si="80"/>
        <v>0</v>
      </c>
      <c r="Q145" s="60">
        <f t="shared" si="80"/>
        <v>0</v>
      </c>
      <c r="R145" s="89"/>
      <c r="S145" s="89"/>
      <c r="T145" s="89"/>
      <c r="U145" s="89"/>
      <c r="V145" s="89"/>
    </row>
    <row r="146" spans="1:22" ht="28" customHeight="1" x14ac:dyDescent="0.35">
      <c r="A146" s="262"/>
      <c r="B146" s="265"/>
      <c r="C146" s="101"/>
      <c r="D146" s="73"/>
      <c r="E146" s="19"/>
      <c r="F146" s="66" t="s">
        <v>151</v>
      </c>
      <c r="G146" s="67">
        <f t="shared" si="74"/>
        <v>90465241</v>
      </c>
      <c r="H146" s="67">
        <f t="shared" si="75"/>
        <v>0</v>
      </c>
      <c r="I146" s="67">
        <f t="shared" si="75"/>
        <v>0</v>
      </c>
      <c r="J146" s="67">
        <f>K146+L146</f>
        <v>0</v>
      </c>
      <c r="K146" s="67">
        <v>0</v>
      </c>
      <c r="L146" s="67">
        <v>0</v>
      </c>
      <c r="M146" s="67">
        <v>90465241</v>
      </c>
      <c r="N146" s="67">
        <f>O146+P146</f>
        <v>0</v>
      </c>
      <c r="O146" s="67">
        <v>0</v>
      </c>
      <c r="P146" s="67">
        <v>0</v>
      </c>
      <c r="Q146" s="67">
        <v>0</v>
      </c>
      <c r="R146" s="89"/>
      <c r="S146" s="89"/>
      <c r="T146" s="89"/>
      <c r="U146" s="89"/>
      <c r="V146" s="89"/>
    </row>
    <row r="147" spans="1:22" ht="28" customHeight="1" x14ac:dyDescent="0.35">
      <c r="A147" s="262" t="s">
        <v>163</v>
      </c>
      <c r="B147" s="265" t="s">
        <v>164</v>
      </c>
      <c r="C147" s="56">
        <f>C148</f>
        <v>0</v>
      </c>
      <c r="D147" s="57">
        <f>D148</f>
        <v>0</v>
      </c>
      <c r="E147" s="58">
        <f>E148</f>
        <v>0</v>
      </c>
      <c r="F147" s="59" t="s">
        <v>165</v>
      </c>
      <c r="G147" s="58">
        <f t="shared" si="74"/>
        <v>1000000</v>
      </c>
      <c r="H147" s="58">
        <f t="shared" si="75"/>
        <v>0</v>
      </c>
      <c r="I147" s="58">
        <f t="shared" si="75"/>
        <v>0</v>
      </c>
      <c r="J147" s="58">
        <f>J148</f>
        <v>0</v>
      </c>
      <c r="K147" s="58">
        <f t="shared" ref="K147:Q148" si="81">K148</f>
        <v>0</v>
      </c>
      <c r="L147" s="58">
        <f t="shared" si="81"/>
        <v>0</v>
      </c>
      <c r="M147" s="58">
        <f t="shared" si="81"/>
        <v>1000000</v>
      </c>
      <c r="N147" s="58">
        <f t="shared" si="81"/>
        <v>0</v>
      </c>
      <c r="O147" s="58">
        <f t="shared" si="81"/>
        <v>0</v>
      </c>
      <c r="P147" s="58">
        <f t="shared" si="81"/>
        <v>0</v>
      </c>
      <c r="Q147" s="58">
        <f t="shared" si="81"/>
        <v>0</v>
      </c>
      <c r="R147" s="89"/>
      <c r="S147" s="89"/>
      <c r="T147" s="89"/>
      <c r="U147" s="89"/>
      <c r="V147" s="89"/>
    </row>
    <row r="148" spans="1:22" ht="28" customHeight="1" x14ac:dyDescent="0.35">
      <c r="A148" s="262"/>
      <c r="B148" s="265"/>
      <c r="C148" s="60">
        <v>0</v>
      </c>
      <c r="D148" s="60">
        <v>0</v>
      </c>
      <c r="E148" s="60">
        <v>0</v>
      </c>
      <c r="F148" s="61" t="s">
        <v>150</v>
      </c>
      <c r="G148" s="60">
        <f t="shared" si="74"/>
        <v>1000000</v>
      </c>
      <c r="H148" s="60">
        <f t="shared" si="75"/>
        <v>0</v>
      </c>
      <c r="I148" s="60">
        <f t="shared" si="75"/>
        <v>0</v>
      </c>
      <c r="J148" s="60">
        <f>J149</f>
        <v>0</v>
      </c>
      <c r="K148" s="60">
        <f t="shared" si="81"/>
        <v>0</v>
      </c>
      <c r="L148" s="60">
        <f t="shared" si="81"/>
        <v>0</v>
      </c>
      <c r="M148" s="60">
        <f t="shared" si="81"/>
        <v>1000000</v>
      </c>
      <c r="N148" s="60">
        <f t="shared" si="81"/>
        <v>0</v>
      </c>
      <c r="O148" s="60">
        <f t="shared" si="81"/>
        <v>0</v>
      </c>
      <c r="P148" s="60">
        <f t="shared" si="81"/>
        <v>0</v>
      </c>
      <c r="Q148" s="60">
        <f t="shared" si="81"/>
        <v>0</v>
      </c>
      <c r="R148" s="89"/>
      <c r="S148" s="89"/>
      <c r="T148" s="89"/>
      <c r="U148" s="89"/>
      <c r="V148" s="89"/>
    </row>
    <row r="149" spans="1:22" ht="28" customHeight="1" x14ac:dyDescent="0.35">
      <c r="A149" s="262"/>
      <c r="B149" s="265"/>
      <c r="C149" s="101"/>
      <c r="D149" s="73"/>
      <c r="E149" s="19"/>
      <c r="F149" s="66" t="s">
        <v>151</v>
      </c>
      <c r="G149" s="67">
        <f t="shared" si="74"/>
        <v>1000000</v>
      </c>
      <c r="H149" s="67">
        <f t="shared" si="75"/>
        <v>0</v>
      </c>
      <c r="I149" s="67">
        <f t="shared" si="75"/>
        <v>0</v>
      </c>
      <c r="J149" s="67">
        <f>K149+L149</f>
        <v>0</v>
      </c>
      <c r="K149" s="67">
        <v>0</v>
      </c>
      <c r="L149" s="67">
        <v>0</v>
      </c>
      <c r="M149" s="67">
        <v>1000000</v>
      </c>
      <c r="N149" s="67">
        <f>O149+P149</f>
        <v>0</v>
      </c>
      <c r="O149" s="67">
        <v>0</v>
      </c>
      <c r="P149" s="67">
        <v>0</v>
      </c>
      <c r="Q149" s="67">
        <v>0</v>
      </c>
      <c r="R149" s="89"/>
      <c r="S149" s="89"/>
      <c r="T149" s="89"/>
      <c r="U149" s="89"/>
      <c r="V149" s="89"/>
    </row>
    <row r="150" spans="1:22" ht="28" customHeight="1" x14ac:dyDescent="0.35">
      <c r="A150" s="250" t="s">
        <v>166</v>
      </c>
      <c r="B150" s="215" t="s">
        <v>167</v>
      </c>
      <c r="C150" s="56">
        <f>C151</f>
        <v>0</v>
      </c>
      <c r="D150" s="57">
        <f>D151</f>
        <v>0</v>
      </c>
      <c r="E150" s="58">
        <f>E151</f>
        <v>0</v>
      </c>
      <c r="F150" s="59" t="s">
        <v>168</v>
      </c>
      <c r="G150" s="58">
        <f t="shared" si="74"/>
        <v>0</v>
      </c>
      <c r="H150" s="58">
        <f t="shared" si="75"/>
        <v>0</v>
      </c>
      <c r="I150" s="58">
        <f t="shared" si="75"/>
        <v>0</v>
      </c>
      <c r="J150" s="58">
        <f>J151</f>
        <v>0</v>
      </c>
      <c r="K150" s="58">
        <f t="shared" ref="K150:Q151" si="82">K151</f>
        <v>0</v>
      </c>
      <c r="L150" s="58">
        <f t="shared" si="82"/>
        <v>0</v>
      </c>
      <c r="M150" s="58">
        <f t="shared" si="82"/>
        <v>0</v>
      </c>
      <c r="N150" s="58">
        <f t="shared" si="82"/>
        <v>0</v>
      </c>
      <c r="O150" s="58">
        <f t="shared" si="82"/>
        <v>0</v>
      </c>
      <c r="P150" s="58">
        <f t="shared" si="82"/>
        <v>0</v>
      </c>
      <c r="Q150" s="58">
        <f t="shared" si="82"/>
        <v>0</v>
      </c>
      <c r="R150" s="89"/>
      <c r="S150" s="89"/>
      <c r="T150" s="89"/>
      <c r="U150" s="89"/>
      <c r="V150" s="89"/>
    </row>
    <row r="151" spans="1:22" ht="28" customHeight="1" x14ac:dyDescent="0.35">
      <c r="A151" s="250"/>
      <c r="B151" s="215"/>
      <c r="C151" s="60">
        <v>0</v>
      </c>
      <c r="D151" s="60">
        <v>0</v>
      </c>
      <c r="E151" s="60">
        <v>0</v>
      </c>
      <c r="F151" s="61" t="s">
        <v>150</v>
      </c>
      <c r="G151" s="60">
        <f t="shared" si="74"/>
        <v>0</v>
      </c>
      <c r="H151" s="60">
        <f t="shared" si="75"/>
        <v>0</v>
      </c>
      <c r="I151" s="60">
        <f t="shared" si="75"/>
        <v>0</v>
      </c>
      <c r="J151" s="60">
        <f>J152</f>
        <v>0</v>
      </c>
      <c r="K151" s="60">
        <f t="shared" si="82"/>
        <v>0</v>
      </c>
      <c r="L151" s="60">
        <f t="shared" si="82"/>
        <v>0</v>
      </c>
      <c r="M151" s="60">
        <f t="shared" si="82"/>
        <v>0</v>
      </c>
      <c r="N151" s="60">
        <f t="shared" si="82"/>
        <v>0</v>
      </c>
      <c r="O151" s="60">
        <f t="shared" si="82"/>
        <v>0</v>
      </c>
      <c r="P151" s="60">
        <f t="shared" si="82"/>
        <v>0</v>
      </c>
      <c r="Q151" s="60">
        <f t="shared" si="82"/>
        <v>0</v>
      </c>
      <c r="R151" s="89"/>
      <c r="S151" s="89"/>
      <c r="T151" s="89"/>
      <c r="U151" s="89"/>
      <c r="V151" s="89"/>
    </row>
    <row r="152" spans="1:22" ht="28" customHeight="1" x14ac:dyDescent="0.35">
      <c r="A152" s="250"/>
      <c r="B152" s="215"/>
      <c r="C152" s="101"/>
      <c r="D152" s="73"/>
      <c r="E152" s="19"/>
      <c r="F152" s="66" t="s">
        <v>151</v>
      </c>
      <c r="G152" s="67">
        <f t="shared" si="74"/>
        <v>0</v>
      </c>
      <c r="H152" s="67">
        <f t="shared" si="75"/>
        <v>0</v>
      </c>
      <c r="I152" s="67">
        <f t="shared" si="75"/>
        <v>0</v>
      </c>
      <c r="J152" s="67">
        <f>K152+L152</f>
        <v>0</v>
      </c>
      <c r="K152" s="67">
        <v>0</v>
      </c>
      <c r="L152" s="67">
        <v>0</v>
      </c>
      <c r="M152" s="67">
        <f>3000000-3000000</f>
        <v>0</v>
      </c>
      <c r="N152" s="67">
        <f>O152+P152</f>
        <v>0</v>
      </c>
      <c r="O152" s="67">
        <v>0</v>
      </c>
      <c r="P152" s="67">
        <v>0</v>
      </c>
      <c r="Q152" s="67">
        <v>0</v>
      </c>
      <c r="R152" s="89"/>
      <c r="S152" s="89"/>
      <c r="T152" s="89"/>
      <c r="U152" s="89"/>
      <c r="V152" s="89"/>
    </row>
    <row r="153" spans="1:22" ht="28" customHeight="1" x14ac:dyDescent="0.35">
      <c r="A153" s="262" t="s">
        <v>169</v>
      </c>
      <c r="B153" s="215" t="s">
        <v>170</v>
      </c>
      <c r="C153" s="56">
        <f>C154</f>
        <v>0</v>
      </c>
      <c r="D153" s="57">
        <f>D154</f>
        <v>0</v>
      </c>
      <c r="E153" s="58">
        <f>E154</f>
        <v>0</v>
      </c>
      <c r="F153" s="59" t="s">
        <v>171</v>
      </c>
      <c r="G153" s="58">
        <f t="shared" si="74"/>
        <v>2300000</v>
      </c>
      <c r="H153" s="58">
        <f t="shared" si="75"/>
        <v>2300000</v>
      </c>
      <c r="I153" s="58">
        <f t="shared" si="75"/>
        <v>0</v>
      </c>
      <c r="J153" s="58">
        <f>J154</f>
        <v>2300000</v>
      </c>
      <c r="K153" s="58">
        <f t="shared" ref="K153:Q154" si="83">K154</f>
        <v>2300000</v>
      </c>
      <c r="L153" s="58">
        <f t="shared" si="83"/>
        <v>0</v>
      </c>
      <c r="M153" s="58">
        <f t="shared" si="83"/>
        <v>0</v>
      </c>
      <c r="N153" s="58">
        <f t="shared" si="83"/>
        <v>0</v>
      </c>
      <c r="O153" s="58">
        <f t="shared" si="83"/>
        <v>0</v>
      </c>
      <c r="P153" s="58">
        <f t="shared" si="83"/>
        <v>0</v>
      </c>
      <c r="Q153" s="58">
        <f t="shared" si="83"/>
        <v>0</v>
      </c>
      <c r="R153" s="89"/>
      <c r="S153" s="89"/>
      <c r="T153" s="89"/>
      <c r="U153" s="89"/>
      <c r="V153" s="89"/>
    </row>
    <row r="154" spans="1:22" ht="28" customHeight="1" x14ac:dyDescent="0.35">
      <c r="A154" s="262"/>
      <c r="B154" s="215"/>
      <c r="C154" s="60">
        <v>0</v>
      </c>
      <c r="D154" s="60">
        <v>0</v>
      </c>
      <c r="E154" s="60">
        <v>0</v>
      </c>
      <c r="F154" s="61" t="s">
        <v>172</v>
      </c>
      <c r="G154" s="60">
        <f t="shared" si="74"/>
        <v>2300000</v>
      </c>
      <c r="H154" s="60">
        <f t="shared" si="75"/>
        <v>2300000</v>
      </c>
      <c r="I154" s="60">
        <f t="shared" si="75"/>
        <v>0</v>
      </c>
      <c r="J154" s="60">
        <f>J155</f>
        <v>2300000</v>
      </c>
      <c r="K154" s="60">
        <f t="shared" si="83"/>
        <v>2300000</v>
      </c>
      <c r="L154" s="60">
        <f t="shared" si="83"/>
        <v>0</v>
      </c>
      <c r="M154" s="60">
        <f t="shared" si="83"/>
        <v>0</v>
      </c>
      <c r="N154" s="60">
        <f t="shared" si="83"/>
        <v>0</v>
      </c>
      <c r="O154" s="60">
        <f t="shared" si="83"/>
        <v>0</v>
      </c>
      <c r="P154" s="60">
        <f t="shared" si="83"/>
        <v>0</v>
      </c>
      <c r="Q154" s="60">
        <f t="shared" si="83"/>
        <v>0</v>
      </c>
      <c r="R154" s="89"/>
      <c r="S154" s="89"/>
      <c r="T154" s="89"/>
      <c r="U154" s="89"/>
      <c r="V154" s="89"/>
    </row>
    <row r="155" spans="1:22" ht="28" customHeight="1" x14ac:dyDescent="0.35">
      <c r="A155" s="262"/>
      <c r="B155" s="215"/>
      <c r="C155" s="101"/>
      <c r="D155" s="73"/>
      <c r="E155" s="19"/>
      <c r="F155" s="66" t="s">
        <v>173</v>
      </c>
      <c r="G155" s="67">
        <f t="shared" si="74"/>
        <v>2300000</v>
      </c>
      <c r="H155" s="67">
        <f t="shared" si="75"/>
        <v>2300000</v>
      </c>
      <c r="I155" s="67">
        <f t="shared" si="75"/>
        <v>0</v>
      </c>
      <c r="J155" s="67">
        <f>K155+L155</f>
        <v>2300000</v>
      </c>
      <c r="K155" s="67">
        <v>2300000</v>
      </c>
      <c r="L155" s="67">
        <v>0</v>
      </c>
      <c r="M155" s="67">
        <v>0</v>
      </c>
      <c r="N155" s="67">
        <f>O155+P155</f>
        <v>0</v>
      </c>
      <c r="O155" s="67">
        <v>0</v>
      </c>
      <c r="P155" s="67">
        <v>0</v>
      </c>
      <c r="Q155" s="67">
        <v>0</v>
      </c>
      <c r="R155" s="89"/>
      <c r="S155" s="89"/>
      <c r="T155" s="89"/>
      <c r="U155" s="89"/>
      <c r="V155" s="89"/>
    </row>
    <row r="156" spans="1:22" ht="28" customHeight="1" x14ac:dyDescent="0.35">
      <c r="A156" s="252" t="s">
        <v>174</v>
      </c>
      <c r="B156" s="215" t="s">
        <v>175</v>
      </c>
      <c r="C156" s="56">
        <f>C157</f>
        <v>0</v>
      </c>
      <c r="D156" s="57">
        <f>D157</f>
        <v>0</v>
      </c>
      <c r="E156" s="58">
        <f>E157</f>
        <v>0</v>
      </c>
      <c r="F156" s="59" t="s">
        <v>176</v>
      </c>
      <c r="G156" s="58">
        <f t="shared" si="74"/>
        <v>77200000</v>
      </c>
      <c r="H156" s="58">
        <f t="shared" si="75"/>
        <v>77200000</v>
      </c>
      <c r="I156" s="58">
        <f t="shared" si="75"/>
        <v>0</v>
      </c>
      <c r="J156" s="58">
        <f>J157</f>
        <v>77200000</v>
      </c>
      <c r="K156" s="58">
        <f t="shared" ref="K156:Q157" si="84">K157</f>
        <v>77200000</v>
      </c>
      <c r="L156" s="58">
        <f t="shared" si="84"/>
        <v>0</v>
      </c>
      <c r="M156" s="58">
        <f t="shared" si="84"/>
        <v>0</v>
      </c>
      <c r="N156" s="58">
        <f t="shared" si="84"/>
        <v>0</v>
      </c>
      <c r="O156" s="58">
        <f t="shared" si="84"/>
        <v>0</v>
      </c>
      <c r="P156" s="58">
        <f t="shared" si="84"/>
        <v>0</v>
      </c>
      <c r="Q156" s="58">
        <f t="shared" si="84"/>
        <v>0</v>
      </c>
      <c r="R156" s="89"/>
      <c r="S156" s="89"/>
      <c r="T156" s="89"/>
      <c r="U156" s="89"/>
      <c r="V156" s="89"/>
    </row>
    <row r="157" spans="1:22" ht="28" customHeight="1" x14ac:dyDescent="0.35">
      <c r="A157" s="252"/>
      <c r="B157" s="215"/>
      <c r="C157" s="60">
        <v>0</v>
      </c>
      <c r="D157" s="60">
        <v>0</v>
      </c>
      <c r="E157" s="60">
        <v>0</v>
      </c>
      <c r="F157" s="61" t="s">
        <v>172</v>
      </c>
      <c r="G157" s="60">
        <f t="shared" si="74"/>
        <v>77200000</v>
      </c>
      <c r="H157" s="60">
        <f t="shared" si="75"/>
        <v>77200000</v>
      </c>
      <c r="I157" s="60">
        <f t="shared" si="75"/>
        <v>0</v>
      </c>
      <c r="J157" s="60">
        <f>J158</f>
        <v>77200000</v>
      </c>
      <c r="K157" s="60">
        <f t="shared" si="84"/>
        <v>77200000</v>
      </c>
      <c r="L157" s="60">
        <f t="shared" si="84"/>
        <v>0</v>
      </c>
      <c r="M157" s="60">
        <f t="shared" si="84"/>
        <v>0</v>
      </c>
      <c r="N157" s="60">
        <f t="shared" si="84"/>
        <v>0</v>
      </c>
      <c r="O157" s="60">
        <f t="shared" si="84"/>
        <v>0</v>
      </c>
      <c r="P157" s="60">
        <f t="shared" si="84"/>
        <v>0</v>
      </c>
      <c r="Q157" s="60">
        <f t="shared" si="84"/>
        <v>0</v>
      </c>
      <c r="R157" s="89"/>
      <c r="S157" s="89"/>
      <c r="T157" s="89"/>
      <c r="U157" s="89"/>
      <c r="V157" s="89"/>
    </row>
    <row r="158" spans="1:22" ht="28" customHeight="1" x14ac:dyDescent="0.35">
      <c r="A158" s="252"/>
      <c r="B158" s="215"/>
      <c r="C158" s="101"/>
      <c r="D158" s="73"/>
      <c r="E158" s="19"/>
      <c r="F158" s="66" t="s">
        <v>173</v>
      </c>
      <c r="G158" s="67">
        <f t="shared" si="74"/>
        <v>77200000</v>
      </c>
      <c r="H158" s="67">
        <f t="shared" si="75"/>
        <v>77200000</v>
      </c>
      <c r="I158" s="67">
        <f t="shared" si="75"/>
        <v>0</v>
      </c>
      <c r="J158" s="67">
        <f>K158+L158</f>
        <v>77200000</v>
      </c>
      <c r="K158" s="67">
        <v>77200000</v>
      </c>
      <c r="L158" s="67">
        <v>0</v>
      </c>
      <c r="M158" s="67">
        <v>0</v>
      </c>
      <c r="N158" s="67">
        <f>O158+P158</f>
        <v>0</v>
      </c>
      <c r="O158" s="67">
        <v>0</v>
      </c>
      <c r="P158" s="67">
        <v>0</v>
      </c>
      <c r="Q158" s="67">
        <v>0</v>
      </c>
      <c r="R158" s="89"/>
      <c r="S158" s="89"/>
      <c r="T158" s="89"/>
      <c r="U158" s="89"/>
      <c r="V158" s="89"/>
    </row>
    <row r="159" spans="1:22" ht="28" customHeight="1" x14ac:dyDescent="0.35">
      <c r="A159" s="252" t="s">
        <v>177</v>
      </c>
      <c r="B159" s="215" t="s">
        <v>178</v>
      </c>
      <c r="C159" s="56">
        <f>C160</f>
        <v>0</v>
      </c>
      <c r="D159" s="57">
        <f>D160</f>
        <v>0</v>
      </c>
      <c r="E159" s="58">
        <f>E160</f>
        <v>0</v>
      </c>
      <c r="F159" s="59" t="s">
        <v>179</v>
      </c>
      <c r="G159" s="58">
        <f t="shared" si="74"/>
        <v>27900000</v>
      </c>
      <c r="H159" s="58">
        <f t="shared" si="75"/>
        <v>27900000</v>
      </c>
      <c r="I159" s="58">
        <f t="shared" si="75"/>
        <v>0</v>
      </c>
      <c r="J159" s="58">
        <f>J160</f>
        <v>27900000</v>
      </c>
      <c r="K159" s="58">
        <f t="shared" ref="K159:Q160" si="85">K160</f>
        <v>27900000</v>
      </c>
      <c r="L159" s="58">
        <f t="shared" si="85"/>
        <v>0</v>
      </c>
      <c r="M159" s="58">
        <f t="shared" si="85"/>
        <v>0</v>
      </c>
      <c r="N159" s="58">
        <f t="shared" si="85"/>
        <v>0</v>
      </c>
      <c r="O159" s="58">
        <f t="shared" si="85"/>
        <v>0</v>
      </c>
      <c r="P159" s="58">
        <f t="shared" si="85"/>
        <v>0</v>
      </c>
      <c r="Q159" s="58">
        <f t="shared" si="85"/>
        <v>0</v>
      </c>
      <c r="R159" s="89"/>
      <c r="S159" s="89"/>
      <c r="T159" s="89"/>
      <c r="U159" s="89"/>
      <c r="V159" s="89"/>
    </row>
    <row r="160" spans="1:22" ht="28" customHeight="1" x14ac:dyDescent="0.35">
      <c r="A160" s="252"/>
      <c r="B160" s="215"/>
      <c r="C160" s="60">
        <v>0</v>
      </c>
      <c r="D160" s="60">
        <v>0</v>
      </c>
      <c r="E160" s="60">
        <v>0</v>
      </c>
      <c r="F160" s="61" t="s">
        <v>172</v>
      </c>
      <c r="G160" s="60">
        <f t="shared" si="74"/>
        <v>27900000</v>
      </c>
      <c r="H160" s="60">
        <f t="shared" si="75"/>
        <v>27900000</v>
      </c>
      <c r="I160" s="60">
        <f t="shared" si="75"/>
        <v>0</v>
      </c>
      <c r="J160" s="60">
        <f>J161</f>
        <v>27900000</v>
      </c>
      <c r="K160" s="60">
        <f t="shared" si="85"/>
        <v>27900000</v>
      </c>
      <c r="L160" s="60">
        <f t="shared" si="85"/>
        <v>0</v>
      </c>
      <c r="M160" s="60">
        <f t="shared" si="85"/>
        <v>0</v>
      </c>
      <c r="N160" s="60">
        <f t="shared" si="85"/>
        <v>0</v>
      </c>
      <c r="O160" s="60">
        <f t="shared" si="85"/>
        <v>0</v>
      </c>
      <c r="P160" s="60">
        <f t="shared" si="85"/>
        <v>0</v>
      </c>
      <c r="Q160" s="60">
        <f t="shared" si="85"/>
        <v>0</v>
      </c>
      <c r="R160" s="89"/>
      <c r="S160" s="89"/>
      <c r="T160" s="89"/>
      <c r="U160" s="89"/>
      <c r="V160" s="89"/>
    </row>
    <row r="161" spans="1:22" ht="28" customHeight="1" x14ac:dyDescent="0.35">
      <c r="A161" s="252"/>
      <c r="B161" s="215"/>
      <c r="C161" s="101"/>
      <c r="D161" s="73"/>
      <c r="E161" s="19"/>
      <c r="F161" s="66" t="s">
        <v>173</v>
      </c>
      <c r="G161" s="67">
        <f t="shared" si="74"/>
        <v>27900000</v>
      </c>
      <c r="H161" s="67">
        <f t="shared" si="75"/>
        <v>27900000</v>
      </c>
      <c r="I161" s="67">
        <f t="shared" si="75"/>
        <v>0</v>
      </c>
      <c r="J161" s="67">
        <f>K161+L161</f>
        <v>27900000</v>
      </c>
      <c r="K161" s="67">
        <v>27900000</v>
      </c>
      <c r="L161" s="67">
        <v>0</v>
      </c>
      <c r="M161" s="68">
        <v>0</v>
      </c>
      <c r="N161" s="67">
        <f>O161+P161</f>
        <v>0</v>
      </c>
      <c r="O161" s="67">
        <v>0</v>
      </c>
      <c r="P161" s="67">
        <v>0</v>
      </c>
      <c r="Q161" s="67">
        <v>0</v>
      </c>
      <c r="R161" s="89"/>
      <c r="S161" s="89"/>
      <c r="T161" s="89"/>
      <c r="U161" s="89"/>
      <c r="V161" s="89"/>
    </row>
    <row r="162" spans="1:22" ht="52" x14ac:dyDescent="0.35">
      <c r="A162" s="87" t="s">
        <v>180</v>
      </c>
      <c r="B162" s="88" t="s">
        <v>181</v>
      </c>
      <c r="C162" s="52">
        <f>C163+C168+C173+C180+C187+C194+C197+C202+C207+C210</f>
        <v>163786322</v>
      </c>
      <c r="D162" s="52">
        <f>D163+D168+D173+D180+D187+D194+D197+D202+D207+D210</f>
        <v>57000000</v>
      </c>
      <c r="E162" s="53">
        <f>E163+E168+E173+E180+E187+E194+E197+E202+E207+E210</f>
        <v>0</v>
      </c>
      <c r="F162" s="54" t="s">
        <v>182</v>
      </c>
      <c r="G162" s="52">
        <f>J162+M162+N162+Q162</f>
        <v>803961400</v>
      </c>
      <c r="H162" s="52">
        <f>K162+O162</f>
        <v>492840292</v>
      </c>
      <c r="I162" s="52">
        <f>L162+P162</f>
        <v>7000000</v>
      </c>
      <c r="J162" s="52">
        <f>J163+J168+J173+J180+J187+J194+J197+J202+J207+J210</f>
        <v>499840292</v>
      </c>
      <c r="K162" s="52">
        <f t="shared" ref="K162:Q162" si="86">K163+K168+K173+K180+K187+K194+K197+K202+K207+K210</f>
        <v>492840292</v>
      </c>
      <c r="L162" s="52">
        <f t="shared" si="86"/>
        <v>7000000</v>
      </c>
      <c r="M162" s="52">
        <f t="shared" si="86"/>
        <v>304121108</v>
      </c>
      <c r="N162" s="52">
        <f t="shared" si="86"/>
        <v>0</v>
      </c>
      <c r="O162" s="52">
        <f t="shared" si="86"/>
        <v>0</v>
      </c>
      <c r="P162" s="52">
        <f t="shared" si="86"/>
        <v>0</v>
      </c>
      <c r="Q162" s="52">
        <f t="shared" si="86"/>
        <v>0</v>
      </c>
      <c r="R162" s="89"/>
      <c r="S162" s="89"/>
      <c r="T162" s="89"/>
      <c r="U162" s="89"/>
      <c r="V162" s="89"/>
    </row>
    <row r="163" spans="1:22" ht="28" customHeight="1" x14ac:dyDescent="0.35">
      <c r="A163" s="214" t="s">
        <v>183</v>
      </c>
      <c r="B163" s="215" t="s">
        <v>184</v>
      </c>
      <c r="C163" s="57">
        <f>C164+C166</f>
        <v>0</v>
      </c>
      <c r="D163" s="57">
        <f>D164+D166</f>
        <v>15000000</v>
      </c>
      <c r="E163" s="57">
        <f>E164+E166</f>
        <v>0</v>
      </c>
      <c r="F163" s="59" t="s">
        <v>185</v>
      </c>
      <c r="G163" s="58">
        <f t="shared" ref="G163:G226" si="87">J163+M163+N163+Q163</f>
        <v>414165337</v>
      </c>
      <c r="H163" s="58">
        <f t="shared" ref="H163:I212" si="88">K163+O163</f>
        <v>221549970</v>
      </c>
      <c r="I163" s="58">
        <f t="shared" si="88"/>
        <v>0</v>
      </c>
      <c r="J163" s="58">
        <f>J164+J166</f>
        <v>221549970</v>
      </c>
      <c r="K163" s="58">
        <f t="shared" ref="K163:Q163" si="89">K164+K166</f>
        <v>221549970</v>
      </c>
      <c r="L163" s="58">
        <f t="shared" si="89"/>
        <v>0</v>
      </c>
      <c r="M163" s="58">
        <f t="shared" si="89"/>
        <v>192615367</v>
      </c>
      <c r="N163" s="58">
        <f t="shared" si="89"/>
        <v>0</v>
      </c>
      <c r="O163" s="58">
        <f t="shared" si="89"/>
        <v>0</v>
      </c>
      <c r="P163" s="58">
        <f t="shared" si="89"/>
        <v>0</v>
      </c>
      <c r="Q163" s="58">
        <f t="shared" si="89"/>
        <v>0</v>
      </c>
      <c r="R163" s="89"/>
      <c r="S163" s="89"/>
      <c r="T163" s="89"/>
      <c r="U163" s="89"/>
      <c r="V163" s="89"/>
    </row>
    <row r="164" spans="1:22" ht="28" customHeight="1" x14ac:dyDescent="0.35">
      <c r="A164" s="214"/>
      <c r="B164" s="215"/>
      <c r="C164" s="60">
        <v>0</v>
      </c>
      <c r="D164" s="60">
        <v>0</v>
      </c>
      <c r="E164" s="60">
        <v>0</v>
      </c>
      <c r="F164" s="61" t="s">
        <v>150</v>
      </c>
      <c r="G164" s="60">
        <f t="shared" si="87"/>
        <v>399165337</v>
      </c>
      <c r="H164" s="60">
        <f t="shared" si="88"/>
        <v>206549970</v>
      </c>
      <c r="I164" s="60">
        <f t="shared" si="88"/>
        <v>0</v>
      </c>
      <c r="J164" s="60">
        <f t="shared" ref="J164:Q164" si="90">J165</f>
        <v>206549970</v>
      </c>
      <c r="K164" s="60">
        <f t="shared" si="90"/>
        <v>206549970</v>
      </c>
      <c r="L164" s="60">
        <f t="shared" si="90"/>
        <v>0</v>
      </c>
      <c r="M164" s="60">
        <f t="shared" si="90"/>
        <v>192615367</v>
      </c>
      <c r="N164" s="60">
        <f t="shared" si="90"/>
        <v>0</v>
      </c>
      <c r="O164" s="60">
        <f t="shared" si="90"/>
        <v>0</v>
      </c>
      <c r="P164" s="60">
        <f t="shared" si="90"/>
        <v>0</v>
      </c>
      <c r="Q164" s="60">
        <f t="shared" si="90"/>
        <v>0</v>
      </c>
    </row>
    <row r="165" spans="1:22" ht="28" customHeight="1" x14ac:dyDescent="0.35">
      <c r="A165" s="214"/>
      <c r="B165" s="215"/>
      <c r="C165" s="78"/>
      <c r="D165" s="19"/>
      <c r="E165" s="19"/>
      <c r="F165" s="66" t="s">
        <v>151</v>
      </c>
      <c r="G165" s="67">
        <f t="shared" si="87"/>
        <v>399165337</v>
      </c>
      <c r="H165" s="67">
        <f t="shared" si="88"/>
        <v>206549970</v>
      </c>
      <c r="I165" s="67">
        <f t="shared" si="88"/>
        <v>0</v>
      </c>
      <c r="J165" s="67">
        <f>K165+L165</f>
        <v>206549970</v>
      </c>
      <c r="K165" s="67">
        <f>149000000+37200000+20349970</f>
        <v>206549970</v>
      </c>
      <c r="L165" s="67">
        <v>0</v>
      </c>
      <c r="M165" s="67">
        <f>92491469+82800000+17323898</f>
        <v>192615367</v>
      </c>
      <c r="N165" s="67">
        <f>O165+P165</f>
        <v>0</v>
      </c>
      <c r="O165" s="67">
        <v>0</v>
      </c>
      <c r="P165" s="67">
        <v>0</v>
      </c>
      <c r="Q165" s="67">
        <v>0</v>
      </c>
    </row>
    <row r="166" spans="1:22" ht="28" customHeight="1" x14ac:dyDescent="0.35">
      <c r="A166" s="214"/>
      <c r="B166" s="215"/>
      <c r="C166" s="60">
        <v>0</v>
      </c>
      <c r="D166" s="102">
        <f>G167</f>
        <v>15000000</v>
      </c>
      <c r="E166" s="60">
        <v>0</v>
      </c>
      <c r="F166" s="61" t="s">
        <v>186</v>
      </c>
      <c r="G166" s="60">
        <f t="shared" si="87"/>
        <v>15000000</v>
      </c>
      <c r="H166" s="60">
        <f t="shared" si="88"/>
        <v>15000000</v>
      </c>
      <c r="I166" s="60">
        <f t="shared" si="88"/>
        <v>0</v>
      </c>
      <c r="J166" s="60">
        <f>J167</f>
        <v>15000000</v>
      </c>
      <c r="K166" s="60">
        <f t="shared" ref="K166:Q166" si="91">K167</f>
        <v>15000000</v>
      </c>
      <c r="L166" s="60">
        <f t="shared" si="91"/>
        <v>0</v>
      </c>
      <c r="M166" s="60">
        <f t="shared" si="91"/>
        <v>0</v>
      </c>
      <c r="N166" s="60">
        <f t="shared" si="91"/>
        <v>0</v>
      </c>
      <c r="O166" s="60">
        <f t="shared" si="91"/>
        <v>0</v>
      </c>
      <c r="P166" s="60">
        <f t="shared" si="91"/>
        <v>0</v>
      </c>
      <c r="Q166" s="60">
        <f t="shared" si="91"/>
        <v>0</v>
      </c>
    </row>
    <row r="167" spans="1:22" ht="28" customHeight="1" x14ac:dyDescent="0.35">
      <c r="A167" s="214"/>
      <c r="B167" s="215"/>
      <c r="C167" s="78"/>
      <c r="D167" s="19"/>
      <c r="E167" s="19"/>
      <c r="F167" s="66" t="s">
        <v>187</v>
      </c>
      <c r="G167" s="103">
        <f t="shared" si="87"/>
        <v>15000000</v>
      </c>
      <c r="H167" s="103">
        <f t="shared" si="88"/>
        <v>15000000</v>
      </c>
      <c r="I167" s="103">
        <f t="shared" si="88"/>
        <v>0</v>
      </c>
      <c r="J167" s="103">
        <f>K167+L167</f>
        <v>15000000</v>
      </c>
      <c r="K167" s="103">
        <v>15000000</v>
      </c>
      <c r="L167" s="103">
        <v>0</v>
      </c>
      <c r="M167" s="103">
        <v>0</v>
      </c>
      <c r="N167" s="103">
        <f>O167+P167</f>
        <v>0</v>
      </c>
      <c r="O167" s="103">
        <v>0</v>
      </c>
      <c r="P167" s="103">
        <v>0</v>
      </c>
      <c r="Q167" s="103">
        <v>0</v>
      </c>
    </row>
    <row r="168" spans="1:22" ht="28" customHeight="1" x14ac:dyDescent="0.35">
      <c r="A168" s="266" t="s">
        <v>188</v>
      </c>
      <c r="B168" s="215" t="s">
        <v>189</v>
      </c>
      <c r="C168" s="56">
        <f>C169</f>
        <v>27678354</v>
      </c>
      <c r="D168" s="57">
        <f>D169</f>
        <v>0</v>
      </c>
      <c r="E168" s="58">
        <f>E169</f>
        <v>0</v>
      </c>
      <c r="F168" s="59" t="s">
        <v>190</v>
      </c>
      <c r="G168" s="58">
        <f t="shared" si="87"/>
        <v>67784946</v>
      </c>
      <c r="H168" s="58">
        <f t="shared" si="88"/>
        <v>55178354</v>
      </c>
      <c r="I168" s="58">
        <f t="shared" si="88"/>
        <v>0</v>
      </c>
      <c r="J168" s="58">
        <f>J169</f>
        <v>55178354</v>
      </c>
      <c r="K168" s="58">
        <f t="shared" ref="K168:Q168" si="92">K169</f>
        <v>55178354</v>
      </c>
      <c r="L168" s="58">
        <f t="shared" si="92"/>
        <v>0</v>
      </c>
      <c r="M168" s="58">
        <f t="shared" si="92"/>
        <v>12606592</v>
      </c>
      <c r="N168" s="58">
        <f t="shared" si="92"/>
        <v>0</v>
      </c>
      <c r="O168" s="58">
        <f t="shared" si="92"/>
        <v>0</v>
      </c>
      <c r="P168" s="58">
        <f t="shared" si="92"/>
        <v>0</v>
      </c>
      <c r="Q168" s="58">
        <f t="shared" si="92"/>
        <v>0</v>
      </c>
    </row>
    <row r="169" spans="1:22" ht="28" customHeight="1" x14ac:dyDescent="0.35">
      <c r="A169" s="214"/>
      <c r="B169" s="215"/>
      <c r="C169" s="69">
        <f>G171+G172</f>
        <v>27678354</v>
      </c>
      <c r="D169" s="60">
        <v>0</v>
      </c>
      <c r="E169" s="60">
        <v>0</v>
      </c>
      <c r="F169" s="61" t="s">
        <v>150</v>
      </c>
      <c r="G169" s="60">
        <f t="shared" si="87"/>
        <v>67784946</v>
      </c>
      <c r="H169" s="60">
        <f t="shared" si="88"/>
        <v>55178354</v>
      </c>
      <c r="I169" s="60">
        <f t="shared" si="88"/>
        <v>0</v>
      </c>
      <c r="J169" s="60">
        <f>J170+J171+J172</f>
        <v>55178354</v>
      </c>
      <c r="K169" s="60">
        <f t="shared" ref="K169:Q169" si="93">K170+K171+K172</f>
        <v>55178354</v>
      </c>
      <c r="L169" s="60">
        <f t="shared" si="93"/>
        <v>0</v>
      </c>
      <c r="M169" s="60">
        <f t="shared" si="93"/>
        <v>12606592</v>
      </c>
      <c r="N169" s="60">
        <f t="shared" si="93"/>
        <v>0</v>
      </c>
      <c r="O169" s="60">
        <f t="shared" si="93"/>
        <v>0</v>
      </c>
      <c r="P169" s="60">
        <f t="shared" si="93"/>
        <v>0</v>
      </c>
      <c r="Q169" s="60">
        <f t="shared" si="93"/>
        <v>0</v>
      </c>
    </row>
    <row r="170" spans="1:22" ht="28" customHeight="1" x14ac:dyDescent="0.35">
      <c r="A170" s="214"/>
      <c r="B170" s="215"/>
      <c r="C170" s="78"/>
      <c r="D170" s="79"/>
      <c r="E170" s="64"/>
      <c r="F170" s="66" t="s">
        <v>151</v>
      </c>
      <c r="G170" s="67">
        <f t="shared" si="87"/>
        <v>40106592</v>
      </c>
      <c r="H170" s="67">
        <f t="shared" si="88"/>
        <v>27500000</v>
      </c>
      <c r="I170" s="67">
        <f t="shared" si="88"/>
        <v>0</v>
      </c>
      <c r="J170" s="67">
        <f>K170+L170</f>
        <v>27500000</v>
      </c>
      <c r="K170" s="67">
        <v>27500000</v>
      </c>
      <c r="L170" s="67">
        <v>0</v>
      </c>
      <c r="M170" s="68">
        <v>12606592</v>
      </c>
      <c r="N170" s="68">
        <f>O170+P170</f>
        <v>0</v>
      </c>
      <c r="O170" s="68">
        <v>0</v>
      </c>
      <c r="P170" s="68">
        <v>0</v>
      </c>
      <c r="Q170" s="68">
        <v>0</v>
      </c>
    </row>
    <row r="171" spans="1:22" ht="28" customHeight="1" x14ac:dyDescent="0.35">
      <c r="A171" s="214"/>
      <c r="B171" s="215"/>
      <c r="C171" s="78"/>
      <c r="D171" s="79"/>
      <c r="E171" s="64"/>
      <c r="F171" s="66" t="s">
        <v>152</v>
      </c>
      <c r="G171" s="71">
        <f t="shared" si="87"/>
        <v>27678354</v>
      </c>
      <c r="H171" s="71">
        <f t="shared" si="88"/>
        <v>27678354</v>
      </c>
      <c r="I171" s="71">
        <f t="shared" si="88"/>
        <v>0</v>
      </c>
      <c r="J171" s="71">
        <f>K171+L171</f>
        <v>27678354</v>
      </c>
      <c r="K171" s="71">
        <f>27500000+178354</f>
        <v>27678354</v>
      </c>
      <c r="L171" s="71">
        <v>0</v>
      </c>
      <c r="M171" s="71">
        <v>0</v>
      </c>
      <c r="N171" s="71">
        <f>O171+P171</f>
        <v>0</v>
      </c>
      <c r="O171" s="71">
        <v>0</v>
      </c>
      <c r="P171" s="71">
        <v>0</v>
      </c>
      <c r="Q171" s="71">
        <v>0</v>
      </c>
    </row>
    <row r="172" spans="1:22" ht="28" customHeight="1" x14ac:dyDescent="0.35">
      <c r="A172" s="214"/>
      <c r="B172" s="215"/>
      <c r="C172" s="78"/>
      <c r="D172" s="79"/>
      <c r="E172" s="64"/>
      <c r="F172" s="66" t="s">
        <v>153</v>
      </c>
      <c r="G172" s="71">
        <f t="shared" si="87"/>
        <v>0</v>
      </c>
      <c r="H172" s="71">
        <f t="shared" si="88"/>
        <v>0</v>
      </c>
      <c r="I172" s="71">
        <f t="shared" si="88"/>
        <v>0</v>
      </c>
      <c r="J172" s="71">
        <f>K172+L172</f>
        <v>0</v>
      </c>
      <c r="K172" s="71">
        <v>0</v>
      </c>
      <c r="L172" s="71">
        <v>0</v>
      </c>
      <c r="M172" s="71">
        <v>0</v>
      </c>
      <c r="N172" s="71">
        <f>O172+P172</f>
        <v>0</v>
      </c>
      <c r="O172" s="71">
        <v>0</v>
      </c>
      <c r="P172" s="71">
        <v>0</v>
      </c>
      <c r="Q172" s="71">
        <v>0</v>
      </c>
    </row>
    <row r="173" spans="1:22" ht="28" customHeight="1" x14ac:dyDescent="0.35">
      <c r="A173" s="266" t="s">
        <v>191</v>
      </c>
      <c r="B173" s="215" t="s">
        <v>192</v>
      </c>
      <c r="C173" s="57">
        <f>C174+C178</f>
        <v>22145735</v>
      </c>
      <c r="D173" s="57">
        <f>D174+D178</f>
        <v>20000000</v>
      </c>
      <c r="E173" s="57">
        <f>E174+E178</f>
        <v>0</v>
      </c>
      <c r="F173" s="59" t="s">
        <v>193</v>
      </c>
      <c r="G173" s="58">
        <f t="shared" si="87"/>
        <v>42145735</v>
      </c>
      <c r="H173" s="58">
        <f t="shared" si="88"/>
        <v>42145735</v>
      </c>
      <c r="I173" s="58">
        <f t="shared" si="88"/>
        <v>0</v>
      </c>
      <c r="J173" s="58">
        <f>J174+J178</f>
        <v>42145735</v>
      </c>
      <c r="K173" s="58">
        <f t="shared" ref="K173:Q173" si="94">K174+K178</f>
        <v>42145735</v>
      </c>
      <c r="L173" s="58">
        <f t="shared" si="94"/>
        <v>0</v>
      </c>
      <c r="M173" s="58">
        <f t="shared" si="94"/>
        <v>0</v>
      </c>
      <c r="N173" s="58">
        <f t="shared" si="94"/>
        <v>0</v>
      </c>
      <c r="O173" s="58">
        <f t="shared" si="94"/>
        <v>0</v>
      </c>
      <c r="P173" s="58">
        <f t="shared" si="94"/>
        <v>0</v>
      </c>
      <c r="Q173" s="58">
        <f t="shared" si="94"/>
        <v>0</v>
      </c>
    </row>
    <row r="174" spans="1:22" s="62" customFormat="1" ht="28" customHeight="1" x14ac:dyDescent="0.35">
      <c r="A174" s="214"/>
      <c r="B174" s="215"/>
      <c r="C174" s="69">
        <f>G176+G177</f>
        <v>22145735</v>
      </c>
      <c r="D174" s="60">
        <v>0</v>
      </c>
      <c r="E174" s="60">
        <v>0</v>
      </c>
      <c r="F174" s="61" t="s">
        <v>36</v>
      </c>
      <c r="G174" s="60">
        <f t="shared" si="87"/>
        <v>22145735</v>
      </c>
      <c r="H174" s="60">
        <f t="shared" si="88"/>
        <v>22145735</v>
      </c>
      <c r="I174" s="60">
        <f t="shared" si="88"/>
        <v>0</v>
      </c>
      <c r="J174" s="60">
        <f>J175+J176+J177</f>
        <v>22145735</v>
      </c>
      <c r="K174" s="60">
        <f t="shared" ref="K174:Q174" si="95">K175+K176+K177</f>
        <v>22145735</v>
      </c>
      <c r="L174" s="60">
        <f t="shared" si="95"/>
        <v>0</v>
      </c>
      <c r="M174" s="60">
        <f t="shared" si="95"/>
        <v>0</v>
      </c>
      <c r="N174" s="60">
        <f t="shared" si="95"/>
        <v>0</v>
      </c>
      <c r="O174" s="60">
        <f t="shared" si="95"/>
        <v>0</v>
      </c>
      <c r="P174" s="60">
        <f t="shared" si="95"/>
        <v>0</v>
      </c>
      <c r="Q174" s="60">
        <f t="shared" si="95"/>
        <v>0</v>
      </c>
    </row>
    <row r="175" spans="1:22" s="62" customFormat="1" ht="28" customHeight="1" x14ac:dyDescent="0.35">
      <c r="A175" s="214"/>
      <c r="B175" s="215"/>
      <c r="C175" s="78"/>
      <c r="D175" s="78"/>
      <c r="E175" s="64"/>
      <c r="F175" s="66" t="s">
        <v>37</v>
      </c>
      <c r="G175" s="67">
        <f t="shared" si="87"/>
        <v>0</v>
      </c>
      <c r="H175" s="67">
        <f t="shared" si="88"/>
        <v>0</v>
      </c>
      <c r="I175" s="67">
        <f t="shared" si="88"/>
        <v>0</v>
      </c>
      <c r="J175" s="67">
        <f>K175+L175</f>
        <v>0</v>
      </c>
      <c r="K175" s="67">
        <v>0</v>
      </c>
      <c r="L175" s="67">
        <v>0</v>
      </c>
      <c r="M175" s="68">
        <v>0</v>
      </c>
      <c r="N175" s="68">
        <f>O175+P175</f>
        <v>0</v>
      </c>
      <c r="O175" s="68">
        <v>0</v>
      </c>
      <c r="P175" s="68">
        <v>0</v>
      </c>
      <c r="Q175" s="68">
        <v>0</v>
      </c>
    </row>
    <row r="176" spans="1:22" s="62" customFormat="1" ht="28" customHeight="1" x14ac:dyDescent="0.35">
      <c r="A176" s="214"/>
      <c r="B176" s="215"/>
      <c r="C176" s="78"/>
      <c r="D176" s="78"/>
      <c r="E176" s="64"/>
      <c r="F176" s="66" t="s">
        <v>38</v>
      </c>
      <c r="G176" s="71">
        <f t="shared" si="87"/>
        <v>19000000</v>
      </c>
      <c r="H176" s="71">
        <f t="shared" si="88"/>
        <v>19000000</v>
      </c>
      <c r="I176" s="71">
        <f t="shared" si="88"/>
        <v>0</v>
      </c>
      <c r="J176" s="71">
        <f>K176+L176</f>
        <v>19000000</v>
      </c>
      <c r="K176" s="71">
        <f>15000000+4000000</f>
        <v>19000000</v>
      </c>
      <c r="L176" s="71">
        <v>0</v>
      </c>
      <c r="M176" s="71">
        <v>0</v>
      </c>
      <c r="N176" s="71">
        <f>O176+P176</f>
        <v>0</v>
      </c>
      <c r="O176" s="71">
        <v>0</v>
      </c>
      <c r="P176" s="71">
        <v>0</v>
      </c>
      <c r="Q176" s="71">
        <v>0</v>
      </c>
    </row>
    <row r="177" spans="1:17" s="62" customFormat="1" ht="28" customHeight="1" x14ac:dyDescent="0.35">
      <c r="A177" s="214"/>
      <c r="B177" s="215"/>
      <c r="C177" s="78"/>
      <c r="D177" s="78"/>
      <c r="E177" s="64"/>
      <c r="F177" s="66" t="s">
        <v>39</v>
      </c>
      <c r="G177" s="71">
        <f t="shared" si="87"/>
        <v>3145735</v>
      </c>
      <c r="H177" s="71">
        <f t="shared" si="88"/>
        <v>3145735</v>
      </c>
      <c r="I177" s="71">
        <f t="shared" si="88"/>
        <v>0</v>
      </c>
      <c r="J177" s="71">
        <f>K177+L177</f>
        <v>3145735</v>
      </c>
      <c r="K177" s="71">
        <f>5000000-544914-824098-718452+97391+150562-14754</f>
        <v>3145735</v>
      </c>
      <c r="L177" s="71">
        <v>0</v>
      </c>
      <c r="M177" s="71">
        <v>0</v>
      </c>
      <c r="N177" s="71">
        <f>O177+P177</f>
        <v>0</v>
      </c>
      <c r="O177" s="71">
        <v>0</v>
      </c>
      <c r="P177" s="71">
        <v>0</v>
      </c>
      <c r="Q177" s="71">
        <v>0</v>
      </c>
    </row>
    <row r="178" spans="1:17" s="62" customFormat="1" ht="28" customHeight="1" x14ac:dyDescent="0.35">
      <c r="A178" s="214"/>
      <c r="B178" s="215"/>
      <c r="C178" s="60">
        <v>0</v>
      </c>
      <c r="D178" s="102">
        <f>G179</f>
        <v>20000000</v>
      </c>
      <c r="E178" s="60">
        <v>0</v>
      </c>
      <c r="F178" s="61" t="s">
        <v>186</v>
      </c>
      <c r="G178" s="60">
        <f t="shared" si="87"/>
        <v>20000000</v>
      </c>
      <c r="H178" s="60">
        <f t="shared" si="88"/>
        <v>20000000</v>
      </c>
      <c r="I178" s="60">
        <f t="shared" si="88"/>
        <v>0</v>
      </c>
      <c r="J178" s="60">
        <f>J179</f>
        <v>20000000</v>
      </c>
      <c r="K178" s="60">
        <f t="shared" ref="K178:Q178" si="96">K179</f>
        <v>20000000</v>
      </c>
      <c r="L178" s="60">
        <f t="shared" si="96"/>
        <v>0</v>
      </c>
      <c r="M178" s="60">
        <f t="shared" si="96"/>
        <v>0</v>
      </c>
      <c r="N178" s="60">
        <f t="shared" si="96"/>
        <v>0</v>
      </c>
      <c r="O178" s="60">
        <f t="shared" si="96"/>
        <v>0</v>
      </c>
      <c r="P178" s="60">
        <f t="shared" si="96"/>
        <v>0</v>
      </c>
      <c r="Q178" s="60">
        <f t="shared" si="96"/>
        <v>0</v>
      </c>
    </row>
    <row r="179" spans="1:17" s="62" customFormat="1" ht="28" customHeight="1" x14ac:dyDescent="0.35">
      <c r="A179" s="214"/>
      <c r="B179" s="215"/>
      <c r="C179" s="78"/>
      <c r="D179" s="78"/>
      <c r="E179" s="64"/>
      <c r="F179" s="66" t="s">
        <v>187</v>
      </c>
      <c r="G179" s="103">
        <f t="shared" si="87"/>
        <v>20000000</v>
      </c>
      <c r="H179" s="103">
        <f t="shared" si="88"/>
        <v>20000000</v>
      </c>
      <c r="I179" s="103">
        <f t="shared" si="88"/>
        <v>0</v>
      </c>
      <c r="J179" s="103">
        <f>K179+L179</f>
        <v>20000000</v>
      </c>
      <c r="K179" s="103">
        <v>20000000</v>
      </c>
      <c r="L179" s="103">
        <v>0</v>
      </c>
      <c r="M179" s="103">
        <v>0</v>
      </c>
      <c r="N179" s="103">
        <f>O179+P179</f>
        <v>0</v>
      </c>
      <c r="O179" s="103">
        <v>0</v>
      </c>
      <c r="P179" s="103">
        <v>0</v>
      </c>
      <c r="Q179" s="103">
        <v>0</v>
      </c>
    </row>
    <row r="180" spans="1:17" s="62" customFormat="1" ht="28" customHeight="1" x14ac:dyDescent="0.35">
      <c r="A180" s="266" t="s">
        <v>194</v>
      </c>
      <c r="B180" s="215" t="s">
        <v>195</v>
      </c>
      <c r="C180" s="57">
        <f>C181+C185</f>
        <v>7175056</v>
      </c>
      <c r="D180" s="57">
        <f>D181+D185</f>
        <v>7000000</v>
      </c>
      <c r="E180" s="57">
        <f>E181+E185</f>
        <v>0</v>
      </c>
      <c r="F180" s="59" t="s">
        <v>196</v>
      </c>
      <c r="G180" s="58">
        <f t="shared" si="87"/>
        <v>52103712</v>
      </c>
      <c r="H180" s="58">
        <f t="shared" si="88"/>
        <v>29233056</v>
      </c>
      <c r="I180" s="58">
        <f t="shared" si="88"/>
        <v>7000000</v>
      </c>
      <c r="J180" s="58">
        <f>J181+J185</f>
        <v>36233056</v>
      </c>
      <c r="K180" s="58">
        <f t="shared" ref="K180:Q180" si="97">K181+K185</f>
        <v>29233056</v>
      </c>
      <c r="L180" s="58">
        <f t="shared" si="97"/>
        <v>7000000</v>
      </c>
      <c r="M180" s="58">
        <f t="shared" si="97"/>
        <v>15870656</v>
      </c>
      <c r="N180" s="58">
        <f t="shared" si="97"/>
        <v>0</v>
      </c>
      <c r="O180" s="58">
        <f t="shared" si="97"/>
        <v>0</v>
      </c>
      <c r="P180" s="58">
        <f t="shared" si="97"/>
        <v>0</v>
      </c>
      <c r="Q180" s="58">
        <f t="shared" si="97"/>
        <v>0</v>
      </c>
    </row>
    <row r="181" spans="1:17" ht="28" customHeight="1" x14ac:dyDescent="0.35">
      <c r="A181" s="214"/>
      <c r="B181" s="215"/>
      <c r="C181" s="69">
        <f>G183+G184</f>
        <v>7175056</v>
      </c>
      <c r="D181" s="60">
        <v>0</v>
      </c>
      <c r="E181" s="60">
        <v>0</v>
      </c>
      <c r="F181" s="61" t="s">
        <v>150</v>
      </c>
      <c r="G181" s="60">
        <f t="shared" si="87"/>
        <v>45103712</v>
      </c>
      <c r="H181" s="60">
        <f t="shared" si="88"/>
        <v>22233056</v>
      </c>
      <c r="I181" s="60">
        <f t="shared" si="88"/>
        <v>7000000</v>
      </c>
      <c r="J181" s="60">
        <f>J182+J183+J184</f>
        <v>29233056</v>
      </c>
      <c r="K181" s="60">
        <f t="shared" ref="K181:Q181" si="98">K182+K183+K184</f>
        <v>22233056</v>
      </c>
      <c r="L181" s="60">
        <f t="shared" si="98"/>
        <v>7000000</v>
      </c>
      <c r="M181" s="60">
        <f t="shared" si="98"/>
        <v>15870656</v>
      </c>
      <c r="N181" s="60">
        <f t="shared" si="98"/>
        <v>0</v>
      </c>
      <c r="O181" s="60">
        <f t="shared" si="98"/>
        <v>0</v>
      </c>
      <c r="P181" s="60">
        <f t="shared" si="98"/>
        <v>0</v>
      </c>
      <c r="Q181" s="60">
        <f t="shared" si="98"/>
        <v>0</v>
      </c>
    </row>
    <row r="182" spans="1:17" ht="28" customHeight="1" x14ac:dyDescent="0.35">
      <c r="A182" s="214"/>
      <c r="B182" s="215"/>
      <c r="C182" s="78"/>
      <c r="D182" s="78"/>
      <c r="E182" s="19"/>
      <c r="F182" s="66" t="s">
        <v>151</v>
      </c>
      <c r="G182" s="67">
        <f t="shared" si="87"/>
        <v>37928656</v>
      </c>
      <c r="H182" s="67">
        <f t="shared" si="88"/>
        <v>15058000</v>
      </c>
      <c r="I182" s="67">
        <f t="shared" si="88"/>
        <v>7000000</v>
      </c>
      <c r="J182" s="67">
        <f>K182+L182</f>
        <v>22058000</v>
      </c>
      <c r="K182" s="67">
        <f>9058000+6000000</f>
        <v>15058000</v>
      </c>
      <c r="L182" s="67">
        <v>7000000</v>
      </c>
      <c r="M182" s="68">
        <f>1870656+14000000</f>
        <v>15870656</v>
      </c>
      <c r="N182" s="68">
        <f>O182+P182</f>
        <v>0</v>
      </c>
      <c r="O182" s="68">
        <v>0</v>
      </c>
      <c r="P182" s="68">
        <v>0</v>
      </c>
      <c r="Q182" s="68">
        <v>0</v>
      </c>
    </row>
    <row r="183" spans="1:17" ht="28" customHeight="1" x14ac:dyDescent="0.35">
      <c r="A183" s="214"/>
      <c r="B183" s="215"/>
      <c r="C183" s="78"/>
      <c r="D183" s="78"/>
      <c r="E183" s="19"/>
      <c r="F183" s="66" t="s">
        <v>152</v>
      </c>
      <c r="G183" s="71">
        <f t="shared" si="87"/>
        <v>7175056</v>
      </c>
      <c r="H183" s="71">
        <f t="shared" si="88"/>
        <v>7175056</v>
      </c>
      <c r="I183" s="71">
        <f t="shared" si="88"/>
        <v>0</v>
      </c>
      <c r="J183" s="71">
        <f>K183+L183</f>
        <v>7175056</v>
      </c>
      <c r="K183" s="71">
        <f>9350000-1087472-1087472</f>
        <v>7175056</v>
      </c>
      <c r="L183" s="71">
        <v>0</v>
      </c>
      <c r="M183" s="71">
        <v>0</v>
      </c>
      <c r="N183" s="71">
        <f>O183+P183</f>
        <v>0</v>
      </c>
      <c r="O183" s="71">
        <v>0</v>
      </c>
      <c r="P183" s="71">
        <v>0</v>
      </c>
      <c r="Q183" s="71">
        <v>0</v>
      </c>
    </row>
    <row r="184" spans="1:17" ht="28" customHeight="1" x14ac:dyDescent="0.35">
      <c r="A184" s="214"/>
      <c r="B184" s="215"/>
      <c r="C184" s="78"/>
      <c r="D184" s="78"/>
      <c r="E184" s="19"/>
      <c r="F184" s="66" t="s">
        <v>153</v>
      </c>
      <c r="G184" s="71">
        <f t="shared" si="87"/>
        <v>0</v>
      </c>
      <c r="H184" s="71">
        <f t="shared" si="88"/>
        <v>0</v>
      </c>
      <c r="I184" s="71">
        <f t="shared" si="88"/>
        <v>0</v>
      </c>
      <c r="J184" s="71">
        <f>K184+L184</f>
        <v>0</v>
      </c>
      <c r="K184" s="71">
        <v>0</v>
      </c>
      <c r="L184" s="71">
        <v>0</v>
      </c>
      <c r="M184" s="71">
        <v>0</v>
      </c>
      <c r="N184" s="71">
        <f>O184+P184</f>
        <v>0</v>
      </c>
      <c r="O184" s="71">
        <v>0</v>
      </c>
      <c r="P184" s="71">
        <v>0</v>
      </c>
      <c r="Q184" s="71">
        <v>0</v>
      </c>
    </row>
    <row r="185" spans="1:17" ht="28" customHeight="1" x14ac:dyDescent="0.35">
      <c r="A185" s="214"/>
      <c r="B185" s="215"/>
      <c r="C185" s="60">
        <v>0</v>
      </c>
      <c r="D185" s="102">
        <f>G186</f>
        <v>7000000</v>
      </c>
      <c r="E185" s="60">
        <v>0</v>
      </c>
      <c r="F185" s="61" t="s">
        <v>186</v>
      </c>
      <c r="G185" s="60">
        <f t="shared" si="87"/>
        <v>7000000</v>
      </c>
      <c r="H185" s="60">
        <f t="shared" si="88"/>
        <v>7000000</v>
      </c>
      <c r="I185" s="60">
        <f t="shared" si="88"/>
        <v>0</v>
      </c>
      <c r="J185" s="60">
        <f>J186</f>
        <v>7000000</v>
      </c>
      <c r="K185" s="60">
        <f t="shared" ref="K185:Q185" si="99">K186</f>
        <v>7000000</v>
      </c>
      <c r="L185" s="60">
        <f t="shared" si="99"/>
        <v>0</v>
      </c>
      <c r="M185" s="60">
        <f t="shared" si="99"/>
        <v>0</v>
      </c>
      <c r="N185" s="60">
        <f t="shared" si="99"/>
        <v>0</v>
      </c>
      <c r="O185" s="60">
        <f t="shared" si="99"/>
        <v>0</v>
      </c>
      <c r="P185" s="60">
        <f t="shared" si="99"/>
        <v>0</v>
      </c>
      <c r="Q185" s="60">
        <f t="shared" si="99"/>
        <v>0</v>
      </c>
    </row>
    <row r="186" spans="1:17" ht="28" customHeight="1" x14ac:dyDescent="0.35">
      <c r="A186" s="214"/>
      <c r="B186" s="215"/>
      <c r="C186" s="78"/>
      <c r="D186" s="78"/>
      <c r="E186" s="19"/>
      <c r="F186" s="66" t="s">
        <v>187</v>
      </c>
      <c r="G186" s="103">
        <f t="shared" si="87"/>
        <v>7000000</v>
      </c>
      <c r="H186" s="103">
        <f t="shared" si="88"/>
        <v>7000000</v>
      </c>
      <c r="I186" s="103">
        <f t="shared" si="88"/>
        <v>0</v>
      </c>
      <c r="J186" s="103">
        <f>K186+L186</f>
        <v>7000000</v>
      </c>
      <c r="K186" s="103">
        <v>7000000</v>
      </c>
      <c r="L186" s="103">
        <v>0</v>
      </c>
      <c r="M186" s="103">
        <v>0</v>
      </c>
      <c r="N186" s="103">
        <f>O186+P186</f>
        <v>0</v>
      </c>
      <c r="O186" s="103">
        <v>0</v>
      </c>
      <c r="P186" s="103">
        <v>0</v>
      </c>
      <c r="Q186" s="103">
        <v>0</v>
      </c>
    </row>
    <row r="187" spans="1:17" ht="28" customHeight="1" x14ac:dyDescent="0.35">
      <c r="A187" s="266" t="s">
        <v>197</v>
      </c>
      <c r="B187" s="215" t="s">
        <v>198</v>
      </c>
      <c r="C187" s="57">
        <f>C188+C192</f>
        <v>14518934</v>
      </c>
      <c r="D187" s="57">
        <f>D188+D192</f>
        <v>15000000</v>
      </c>
      <c r="E187" s="57">
        <f>E188+E192</f>
        <v>0</v>
      </c>
      <c r="F187" s="59" t="s">
        <v>199</v>
      </c>
      <c r="G187" s="58">
        <f t="shared" si="87"/>
        <v>29518934</v>
      </c>
      <c r="H187" s="58">
        <f t="shared" si="88"/>
        <v>29518934</v>
      </c>
      <c r="I187" s="58">
        <f t="shared" si="88"/>
        <v>0</v>
      </c>
      <c r="J187" s="58">
        <f>J188+J192</f>
        <v>29518934</v>
      </c>
      <c r="K187" s="58">
        <f t="shared" ref="K187:Q187" si="100">K188+K192</f>
        <v>29518934</v>
      </c>
      <c r="L187" s="58">
        <f t="shared" si="100"/>
        <v>0</v>
      </c>
      <c r="M187" s="58">
        <f t="shared" si="100"/>
        <v>0</v>
      </c>
      <c r="N187" s="58">
        <f t="shared" si="100"/>
        <v>0</v>
      </c>
      <c r="O187" s="58">
        <f t="shared" si="100"/>
        <v>0</v>
      </c>
      <c r="P187" s="58">
        <f t="shared" si="100"/>
        <v>0</v>
      </c>
      <c r="Q187" s="58">
        <f t="shared" si="100"/>
        <v>0</v>
      </c>
    </row>
    <row r="188" spans="1:17" s="62" customFormat="1" ht="28" customHeight="1" x14ac:dyDescent="0.35">
      <c r="A188" s="214"/>
      <c r="B188" s="215"/>
      <c r="C188" s="69">
        <f>G190+G191</f>
        <v>14518934</v>
      </c>
      <c r="D188" s="60">
        <v>0</v>
      </c>
      <c r="E188" s="60">
        <v>0</v>
      </c>
      <c r="F188" s="61" t="s">
        <v>36</v>
      </c>
      <c r="G188" s="60">
        <f t="shared" si="87"/>
        <v>14518934</v>
      </c>
      <c r="H188" s="60">
        <f t="shared" si="88"/>
        <v>14518934</v>
      </c>
      <c r="I188" s="60">
        <f t="shared" si="88"/>
        <v>0</v>
      </c>
      <c r="J188" s="60">
        <f>J189+J190+J191</f>
        <v>14518934</v>
      </c>
      <c r="K188" s="60">
        <f t="shared" ref="K188:Q188" si="101">K189+K190+K191</f>
        <v>14518934</v>
      </c>
      <c r="L188" s="60">
        <f t="shared" si="101"/>
        <v>0</v>
      </c>
      <c r="M188" s="60">
        <f t="shared" si="101"/>
        <v>0</v>
      </c>
      <c r="N188" s="60">
        <f t="shared" si="101"/>
        <v>0</v>
      </c>
      <c r="O188" s="60">
        <f t="shared" si="101"/>
        <v>0</v>
      </c>
      <c r="P188" s="60">
        <f t="shared" si="101"/>
        <v>0</v>
      </c>
      <c r="Q188" s="60">
        <f t="shared" si="101"/>
        <v>0</v>
      </c>
    </row>
    <row r="189" spans="1:17" s="62" customFormat="1" ht="28" customHeight="1" x14ac:dyDescent="0.35">
      <c r="A189" s="214"/>
      <c r="B189" s="215"/>
      <c r="C189" s="78"/>
      <c r="D189" s="78"/>
      <c r="E189" s="64"/>
      <c r="F189" s="66" t="s">
        <v>37</v>
      </c>
      <c r="G189" s="67">
        <f t="shared" si="87"/>
        <v>0</v>
      </c>
      <c r="H189" s="67">
        <f t="shared" si="88"/>
        <v>0</v>
      </c>
      <c r="I189" s="67">
        <f t="shared" si="88"/>
        <v>0</v>
      </c>
      <c r="J189" s="67">
        <f>K189+L189</f>
        <v>0</v>
      </c>
      <c r="K189" s="67">
        <v>0</v>
      </c>
      <c r="L189" s="67">
        <v>0</v>
      </c>
      <c r="M189" s="68">
        <v>0</v>
      </c>
      <c r="N189" s="68">
        <f>O189+P189</f>
        <v>0</v>
      </c>
      <c r="O189" s="68">
        <v>0</v>
      </c>
      <c r="P189" s="68">
        <v>0</v>
      </c>
      <c r="Q189" s="68">
        <v>0</v>
      </c>
    </row>
    <row r="190" spans="1:17" s="62" customFormat="1" ht="28" customHeight="1" x14ac:dyDescent="0.35">
      <c r="A190" s="214"/>
      <c r="B190" s="215"/>
      <c r="C190" s="78"/>
      <c r="D190" s="78"/>
      <c r="E190" s="64"/>
      <c r="F190" s="66" t="s">
        <v>38</v>
      </c>
      <c r="G190" s="71">
        <f t="shared" si="87"/>
        <v>13600000</v>
      </c>
      <c r="H190" s="71">
        <f t="shared" si="88"/>
        <v>13600000</v>
      </c>
      <c r="I190" s="71">
        <f t="shared" si="88"/>
        <v>0</v>
      </c>
      <c r="J190" s="71">
        <f>K190+L190</f>
        <v>13600000</v>
      </c>
      <c r="K190" s="71">
        <f>12600000+1000000</f>
        <v>13600000</v>
      </c>
      <c r="L190" s="71">
        <v>0</v>
      </c>
      <c r="M190" s="71">
        <v>0</v>
      </c>
      <c r="N190" s="71">
        <f>O190+P190</f>
        <v>0</v>
      </c>
      <c r="O190" s="71">
        <v>0</v>
      </c>
      <c r="P190" s="71">
        <v>0</v>
      </c>
      <c r="Q190" s="71">
        <v>0</v>
      </c>
    </row>
    <row r="191" spans="1:17" s="62" customFormat="1" ht="28" customHeight="1" x14ac:dyDescent="0.35">
      <c r="A191" s="214"/>
      <c r="B191" s="215"/>
      <c r="C191" s="78"/>
      <c r="D191" s="78"/>
      <c r="E191" s="64"/>
      <c r="F191" s="66" t="s">
        <v>39</v>
      </c>
      <c r="G191" s="71">
        <f t="shared" si="87"/>
        <v>918934</v>
      </c>
      <c r="H191" s="71">
        <f t="shared" si="88"/>
        <v>918934</v>
      </c>
      <c r="I191" s="71">
        <f t="shared" si="88"/>
        <v>0</v>
      </c>
      <c r="J191" s="71">
        <f>K191+L191</f>
        <v>918934</v>
      </c>
      <c r="K191" s="71">
        <f>2400000-97391-261559-395567-344857-150562-231130</f>
        <v>918934</v>
      </c>
      <c r="L191" s="71">
        <v>0</v>
      </c>
      <c r="M191" s="71">
        <v>0</v>
      </c>
      <c r="N191" s="71">
        <f>O191+P191</f>
        <v>0</v>
      </c>
      <c r="O191" s="71">
        <v>0</v>
      </c>
      <c r="P191" s="71">
        <v>0</v>
      </c>
      <c r="Q191" s="71">
        <v>0</v>
      </c>
    </row>
    <row r="192" spans="1:17" s="62" customFormat="1" ht="28" customHeight="1" x14ac:dyDescent="0.35">
      <c r="A192" s="214"/>
      <c r="B192" s="215"/>
      <c r="C192" s="60">
        <v>0</v>
      </c>
      <c r="D192" s="102">
        <f>G193</f>
        <v>15000000</v>
      </c>
      <c r="E192" s="60">
        <v>0</v>
      </c>
      <c r="F192" s="61" t="s">
        <v>186</v>
      </c>
      <c r="G192" s="60">
        <f t="shared" si="87"/>
        <v>15000000</v>
      </c>
      <c r="H192" s="60">
        <f t="shared" si="88"/>
        <v>15000000</v>
      </c>
      <c r="I192" s="60">
        <f t="shared" si="88"/>
        <v>0</v>
      </c>
      <c r="J192" s="60">
        <f>J193</f>
        <v>15000000</v>
      </c>
      <c r="K192" s="60">
        <f t="shared" ref="K192:Q192" si="102">K193</f>
        <v>15000000</v>
      </c>
      <c r="L192" s="60">
        <f t="shared" si="102"/>
        <v>0</v>
      </c>
      <c r="M192" s="60">
        <f t="shared" si="102"/>
        <v>0</v>
      </c>
      <c r="N192" s="60">
        <f t="shared" si="102"/>
        <v>0</v>
      </c>
      <c r="O192" s="60">
        <f t="shared" si="102"/>
        <v>0</v>
      </c>
      <c r="P192" s="60">
        <f t="shared" si="102"/>
        <v>0</v>
      </c>
      <c r="Q192" s="60">
        <f t="shared" si="102"/>
        <v>0</v>
      </c>
    </row>
    <row r="193" spans="1:17" s="62" customFormat="1" ht="28" customHeight="1" x14ac:dyDescent="0.35">
      <c r="A193" s="214"/>
      <c r="B193" s="215"/>
      <c r="C193" s="78"/>
      <c r="D193" s="78"/>
      <c r="E193" s="64"/>
      <c r="F193" s="66" t="s">
        <v>187</v>
      </c>
      <c r="G193" s="103">
        <f t="shared" si="87"/>
        <v>15000000</v>
      </c>
      <c r="H193" s="103">
        <f t="shared" si="88"/>
        <v>15000000</v>
      </c>
      <c r="I193" s="103">
        <f t="shared" si="88"/>
        <v>0</v>
      </c>
      <c r="J193" s="103">
        <f>K193+L193</f>
        <v>15000000</v>
      </c>
      <c r="K193" s="103">
        <v>15000000</v>
      </c>
      <c r="L193" s="103">
        <v>0</v>
      </c>
      <c r="M193" s="103">
        <v>0</v>
      </c>
      <c r="N193" s="103">
        <f>O193+P193</f>
        <v>0</v>
      </c>
      <c r="O193" s="103">
        <v>0</v>
      </c>
      <c r="P193" s="103">
        <v>0</v>
      </c>
      <c r="Q193" s="103">
        <v>0</v>
      </c>
    </row>
    <row r="194" spans="1:17" s="62" customFormat="1" ht="28" customHeight="1" x14ac:dyDescent="0.35">
      <c r="A194" s="266" t="s">
        <v>200</v>
      </c>
      <c r="B194" s="215" t="s">
        <v>201</v>
      </c>
      <c r="C194" s="56">
        <f>C195</f>
        <v>0</v>
      </c>
      <c r="D194" s="57">
        <f>D195</f>
        <v>0</v>
      </c>
      <c r="E194" s="58">
        <f>E195</f>
        <v>0</v>
      </c>
      <c r="F194" s="59" t="s">
        <v>202</v>
      </c>
      <c r="G194" s="58">
        <f t="shared" si="87"/>
        <v>69974493</v>
      </c>
      <c r="H194" s="58">
        <f t="shared" si="88"/>
        <v>22946000</v>
      </c>
      <c r="I194" s="58">
        <f t="shared" si="88"/>
        <v>0</v>
      </c>
      <c r="J194" s="58">
        <f>J195</f>
        <v>22946000</v>
      </c>
      <c r="K194" s="58">
        <f t="shared" ref="K194:Q195" si="103">K195</f>
        <v>22946000</v>
      </c>
      <c r="L194" s="58">
        <f t="shared" si="103"/>
        <v>0</v>
      </c>
      <c r="M194" s="58">
        <f t="shared" si="103"/>
        <v>47028493</v>
      </c>
      <c r="N194" s="58">
        <f t="shared" si="103"/>
        <v>0</v>
      </c>
      <c r="O194" s="58">
        <f t="shared" si="103"/>
        <v>0</v>
      </c>
      <c r="P194" s="58">
        <f t="shared" si="103"/>
        <v>0</v>
      </c>
      <c r="Q194" s="58">
        <f t="shared" si="103"/>
        <v>0</v>
      </c>
    </row>
    <row r="195" spans="1:17" ht="28" customHeight="1" x14ac:dyDescent="0.35">
      <c r="A195" s="214"/>
      <c r="B195" s="215"/>
      <c r="C195" s="19">
        <v>0</v>
      </c>
      <c r="D195" s="19">
        <v>0</v>
      </c>
      <c r="E195" s="19">
        <v>0</v>
      </c>
      <c r="F195" s="61" t="s">
        <v>150</v>
      </c>
      <c r="G195" s="60">
        <f t="shared" si="87"/>
        <v>69974493</v>
      </c>
      <c r="H195" s="60">
        <f t="shared" si="88"/>
        <v>22946000</v>
      </c>
      <c r="I195" s="60">
        <f t="shared" si="88"/>
        <v>0</v>
      </c>
      <c r="J195" s="60">
        <f>J196</f>
        <v>22946000</v>
      </c>
      <c r="K195" s="60">
        <f t="shared" si="103"/>
        <v>22946000</v>
      </c>
      <c r="L195" s="60">
        <f t="shared" si="103"/>
        <v>0</v>
      </c>
      <c r="M195" s="60">
        <f t="shared" si="103"/>
        <v>47028493</v>
      </c>
      <c r="N195" s="60">
        <f t="shared" si="103"/>
        <v>0</v>
      </c>
      <c r="O195" s="60">
        <f t="shared" si="103"/>
        <v>0</v>
      </c>
      <c r="P195" s="60">
        <f t="shared" si="103"/>
        <v>0</v>
      </c>
      <c r="Q195" s="60">
        <f t="shared" si="103"/>
        <v>0</v>
      </c>
    </row>
    <row r="196" spans="1:17" ht="28" customHeight="1" x14ac:dyDescent="0.35">
      <c r="A196" s="214"/>
      <c r="B196" s="215"/>
      <c r="C196" s="78"/>
      <c r="D196" s="78"/>
      <c r="E196" s="19"/>
      <c r="F196" s="66" t="s">
        <v>151</v>
      </c>
      <c r="G196" s="67">
        <f t="shared" si="87"/>
        <v>69974493</v>
      </c>
      <c r="H196" s="67">
        <f t="shared" si="88"/>
        <v>22946000</v>
      </c>
      <c r="I196" s="67">
        <f t="shared" si="88"/>
        <v>0</v>
      </c>
      <c r="J196" s="67">
        <f>K196+L196</f>
        <v>22946000</v>
      </c>
      <c r="K196" s="67">
        <v>22946000</v>
      </c>
      <c r="L196" s="67">
        <v>0</v>
      </c>
      <c r="M196" s="68">
        <f>33860493+13168000</f>
        <v>47028493</v>
      </c>
      <c r="N196" s="68">
        <f>O196+P196</f>
        <v>0</v>
      </c>
      <c r="O196" s="68">
        <v>0</v>
      </c>
      <c r="P196" s="68">
        <v>0</v>
      </c>
      <c r="Q196" s="68">
        <v>0</v>
      </c>
    </row>
    <row r="197" spans="1:17" ht="28" customHeight="1" x14ac:dyDescent="0.35">
      <c r="A197" s="266" t="s">
        <v>203</v>
      </c>
      <c r="B197" s="215" t="s">
        <v>204</v>
      </c>
      <c r="C197" s="56">
        <f>C198</f>
        <v>47322243</v>
      </c>
      <c r="D197" s="57">
        <f>D198</f>
        <v>0</v>
      </c>
      <c r="E197" s="58">
        <f>E198</f>
        <v>0</v>
      </c>
      <c r="F197" s="59" t="s">
        <v>205</v>
      </c>
      <c r="G197" s="58">
        <f t="shared" si="87"/>
        <v>47322243</v>
      </c>
      <c r="H197" s="58">
        <f t="shared" si="88"/>
        <v>47322243</v>
      </c>
      <c r="I197" s="58">
        <f t="shared" si="88"/>
        <v>0</v>
      </c>
      <c r="J197" s="58">
        <f>J198</f>
        <v>47322243</v>
      </c>
      <c r="K197" s="58">
        <f t="shared" ref="K197:Q197" si="104">K198</f>
        <v>47322243</v>
      </c>
      <c r="L197" s="58">
        <f t="shared" si="104"/>
        <v>0</v>
      </c>
      <c r="M197" s="58">
        <f t="shared" si="104"/>
        <v>0</v>
      </c>
      <c r="N197" s="58">
        <f t="shared" si="104"/>
        <v>0</v>
      </c>
      <c r="O197" s="58">
        <f t="shared" si="104"/>
        <v>0</v>
      </c>
      <c r="P197" s="58">
        <f t="shared" si="104"/>
        <v>0</v>
      </c>
      <c r="Q197" s="58">
        <f t="shared" si="104"/>
        <v>0</v>
      </c>
    </row>
    <row r="198" spans="1:17" ht="28" customHeight="1" x14ac:dyDescent="0.35">
      <c r="A198" s="214"/>
      <c r="B198" s="215"/>
      <c r="C198" s="69">
        <f>G200+G201</f>
        <v>47322243</v>
      </c>
      <c r="D198" s="60">
        <v>0</v>
      </c>
      <c r="E198" s="60">
        <v>0</v>
      </c>
      <c r="F198" s="61" t="s">
        <v>150</v>
      </c>
      <c r="G198" s="60">
        <f t="shared" si="87"/>
        <v>47322243</v>
      </c>
      <c r="H198" s="60">
        <f t="shared" si="88"/>
        <v>47322243</v>
      </c>
      <c r="I198" s="60">
        <f t="shared" si="88"/>
        <v>0</v>
      </c>
      <c r="J198" s="60">
        <f>J199+J200+J201</f>
        <v>47322243</v>
      </c>
      <c r="K198" s="60">
        <f t="shared" ref="K198:Q198" si="105">K199+K200+K201</f>
        <v>47322243</v>
      </c>
      <c r="L198" s="60">
        <f t="shared" si="105"/>
        <v>0</v>
      </c>
      <c r="M198" s="60">
        <f t="shared" si="105"/>
        <v>0</v>
      </c>
      <c r="N198" s="60">
        <f t="shared" si="105"/>
        <v>0</v>
      </c>
      <c r="O198" s="60">
        <f t="shared" si="105"/>
        <v>0</v>
      </c>
      <c r="P198" s="60">
        <f t="shared" si="105"/>
        <v>0</v>
      </c>
      <c r="Q198" s="60">
        <f t="shared" si="105"/>
        <v>0</v>
      </c>
    </row>
    <row r="199" spans="1:17" ht="28" customHeight="1" x14ac:dyDescent="0.35">
      <c r="A199" s="214"/>
      <c r="B199" s="215"/>
      <c r="C199" s="78"/>
      <c r="D199" s="78"/>
      <c r="E199" s="19"/>
      <c r="F199" s="66" t="s">
        <v>151</v>
      </c>
      <c r="G199" s="67">
        <f t="shared" si="87"/>
        <v>0</v>
      </c>
      <c r="H199" s="67">
        <f t="shared" si="88"/>
        <v>0</v>
      </c>
      <c r="I199" s="67">
        <f t="shared" si="88"/>
        <v>0</v>
      </c>
      <c r="J199" s="67">
        <f>K199+L199</f>
        <v>0</v>
      </c>
      <c r="K199" s="67">
        <f>20349970-20349970</f>
        <v>0</v>
      </c>
      <c r="L199" s="67">
        <v>0</v>
      </c>
      <c r="M199" s="68">
        <f>17323898-17323898</f>
        <v>0</v>
      </c>
      <c r="N199" s="68">
        <f>O199+P199</f>
        <v>0</v>
      </c>
      <c r="O199" s="68">
        <v>0</v>
      </c>
      <c r="P199" s="68">
        <v>0</v>
      </c>
      <c r="Q199" s="68">
        <v>0</v>
      </c>
    </row>
    <row r="200" spans="1:17" ht="28" customHeight="1" x14ac:dyDescent="0.35">
      <c r="A200" s="214"/>
      <c r="B200" s="215"/>
      <c r="C200" s="78"/>
      <c r="D200" s="78"/>
      <c r="E200" s="19"/>
      <c r="F200" s="66" t="s">
        <v>152</v>
      </c>
      <c r="G200" s="71">
        <f t="shared" si="87"/>
        <v>44170030</v>
      </c>
      <c r="H200" s="71">
        <f t="shared" si="88"/>
        <v>44170030</v>
      </c>
      <c r="I200" s="71">
        <f t="shared" si="88"/>
        <v>0</v>
      </c>
      <c r="J200" s="71">
        <f>K200+L200</f>
        <v>44170030</v>
      </c>
      <c r="K200" s="71">
        <f>49170030-5000000</f>
        <v>44170030</v>
      </c>
      <c r="L200" s="71">
        <v>0</v>
      </c>
      <c r="M200" s="71">
        <v>0</v>
      </c>
      <c r="N200" s="71">
        <f>O200+P200</f>
        <v>0</v>
      </c>
      <c r="O200" s="71">
        <v>0</v>
      </c>
      <c r="P200" s="71">
        <v>0</v>
      </c>
      <c r="Q200" s="71">
        <v>0</v>
      </c>
    </row>
    <row r="201" spans="1:17" ht="28" customHeight="1" x14ac:dyDescent="0.35">
      <c r="A201" s="214"/>
      <c r="B201" s="215"/>
      <c r="C201" s="78"/>
      <c r="D201" s="78"/>
      <c r="E201" s="19"/>
      <c r="F201" s="66" t="s">
        <v>153</v>
      </c>
      <c r="G201" s="71">
        <f t="shared" si="87"/>
        <v>3152213</v>
      </c>
      <c r="H201" s="71">
        <f t="shared" si="88"/>
        <v>3152213</v>
      </c>
      <c r="I201" s="71">
        <f t="shared" si="88"/>
        <v>0</v>
      </c>
      <c r="J201" s="71">
        <f>K201+L201</f>
        <v>3152213</v>
      </c>
      <c r="K201" s="71">
        <f>5180000-136926-158685-113252-1618924</f>
        <v>3152213</v>
      </c>
      <c r="L201" s="71">
        <v>0</v>
      </c>
      <c r="M201" s="71">
        <v>0</v>
      </c>
      <c r="N201" s="71">
        <f>O201+P201</f>
        <v>0</v>
      </c>
      <c r="O201" s="71">
        <v>0</v>
      </c>
      <c r="P201" s="71">
        <v>0</v>
      </c>
      <c r="Q201" s="71">
        <v>0</v>
      </c>
    </row>
    <row r="202" spans="1:17" ht="28" customHeight="1" x14ac:dyDescent="0.35">
      <c r="A202" s="263" t="s">
        <v>206</v>
      </c>
      <c r="B202" s="215" t="s">
        <v>207</v>
      </c>
      <c r="C202" s="56">
        <f>C203</f>
        <v>44946000</v>
      </c>
      <c r="D202" s="57">
        <f>D203</f>
        <v>0</v>
      </c>
      <c r="E202" s="58">
        <f>E203</f>
        <v>0</v>
      </c>
      <c r="F202" s="59" t="s">
        <v>208</v>
      </c>
      <c r="G202" s="58">
        <f t="shared" si="87"/>
        <v>44946000</v>
      </c>
      <c r="H202" s="58">
        <f t="shared" si="88"/>
        <v>44946000</v>
      </c>
      <c r="I202" s="58">
        <f t="shared" si="88"/>
        <v>0</v>
      </c>
      <c r="J202" s="58">
        <f>J203</f>
        <v>44946000</v>
      </c>
      <c r="K202" s="58">
        <f t="shared" ref="K202:Q202" si="106">K203</f>
        <v>44946000</v>
      </c>
      <c r="L202" s="58">
        <f t="shared" si="106"/>
        <v>0</v>
      </c>
      <c r="M202" s="58">
        <f t="shared" si="106"/>
        <v>0</v>
      </c>
      <c r="N202" s="58">
        <f t="shared" si="106"/>
        <v>0</v>
      </c>
      <c r="O202" s="58">
        <f t="shared" si="106"/>
        <v>0</v>
      </c>
      <c r="P202" s="58">
        <f t="shared" si="106"/>
        <v>0</v>
      </c>
      <c r="Q202" s="58">
        <f t="shared" si="106"/>
        <v>0</v>
      </c>
    </row>
    <row r="203" spans="1:17" ht="28" customHeight="1" x14ac:dyDescent="0.35">
      <c r="A203" s="252"/>
      <c r="B203" s="215"/>
      <c r="C203" s="69">
        <f>G205+G206</f>
        <v>44946000</v>
      </c>
      <c r="D203" s="60">
        <v>0</v>
      </c>
      <c r="E203" s="60">
        <v>0</v>
      </c>
      <c r="F203" s="61" t="s">
        <v>150</v>
      </c>
      <c r="G203" s="60">
        <f t="shared" si="87"/>
        <v>44946000</v>
      </c>
      <c r="H203" s="60">
        <f t="shared" si="88"/>
        <v>44946000</v>
      </c>
      <c r="I203" s="60">
        <f t="shared" si="88"/>
        <v>0</v>
      </c>
      <c r="J203" s="60">
        <f>J204+J205+J206</f>
        <v>44946000</v>
      </c>
      <c r="K203" s="60">
        <f t="shared" ref="K203:Q203" si="107">K204+K205+K206</f>
        <v>44946000</v>
      </c>
      <c r="L203" s="60">
        <f t="shared" si="107"/>
        <v>0</v>
      </c>
      <c r="M203" s="60">
        <f t="shared" si="107"/>
        <v>0</v>
      </c>
      <c r="N203" s="60">
        <f t="shared" si="107"/>
        <v>0</v>
      </c>
      <c r="O203" s="60">
        <f t="shared" si="107"/>
        <v>0</v>
      </c>
      <c r="P203" s="60">
        <f t="shared" si="107"/>
        <v>0</v>
      </c>
      <c r="Q203" s="60">
        <f t="shared" si="107"/>
        <v>0</v>
      </c>
    </row>
    <row r="204" spans="1:17" ht="28" customHeight="1" x14ac:dyDescent="0.35">
      <c r="A204" s="252"/>
      <c r="B204" s="215"/>
      <c r="C204" s="78"/>
      <c r="D204" s="79"/>
      <c r="E204" s="78"/>
      <c r="F204" s="66" t="s">
        <v>151</v>
      </c>
      <c r="G204" s="67">
        <f t="shared" si="87"/>
        <v>0</v>
      </c>
      <c r="H204" s="67">
        <f t="shared" si="88"/>
        <v>0</v>
      </c>
      <c r="I204" s="67">
        <f t="shared" si="88"/>
        <v>0</v>
      </c>
      <c r="J204" s="67">
        <f>K204+L204</f>
        <v>0</v>
      </c>
      <c r="K204" s="67">
        <f>22946000-22946000</f>
        <v>0</v>
      </c>
      <c r="L204" s="67">
        <v>0</v>
      </c>
      <c r="M204" s="68">
        <f>10168000-10168000</f>
        <v>0</v>
      </c>
      <c r="N204" s="68">
        <f>O204+P204</f>
        <v>0</v>
      </c>
      <c r="O204" s="68">
        <v>0</v>
      </c>
      <c r="P204" s="68">
        <v>0</v>
      </c>
      <c r="Q204" s="68">
        <v>0</v>
      </c>
    </row>
    <row r="205" spans="1:17" ht="28" customHeight="1" x14ac:dyDescent="0.35">
      <c r="A205" s="252"/>
      <c r="B205" s="215"/>
      <c r="C205" s="78"/>
      <c r="D205" s="79"/>
      <c r="E205" s="78"/>
      <c r="F205" s="66" t="s">
        <v>152</v>
      </c>
      <c r="G205" s="71">
        <f t="shared" si="87"/>
        <v>44946000</v>
      </c>
      <c r="H205" s="71">
        <f t="shared" si="88"/>
        <v>44946000</v>
      </c>
      <c r="I205" s="71">
        <f t="shared" si="88"/>
        <v>0</v>
      </c>
      <c r="J205" s="71">
        <f>K205+L205</f>
        <v>44946000</v>
      </c>
      <c r="K205" s="71">
        <v>44946000</v>
      </c>
      <c r="L205" s="71">
        <v>0</v>
      </c>
      <c r="M205" s="71">
        <v>0</v>
      </c>
      <c r="N205" s="71">
        <f>O205+P205</f>
        <v>0</v>
      </c>
      <c r="O205" s="71">
        <v>0</v>
      </c>
      <c r="P205" s="71">
        <v>0</v>
      </c>
      <c r="Q205" s="71">
        <v>0</v>
      </c>
    </row>
    <row r="206" spans="1:17" ht="28" customHeight="1" x14ac:dyDescent="0.35">
      <c r="A206" s="252"/>
      <c r="B206" s="215"/>
      <c r="C206" s="78"/>
      <c r="D206" s="79"/>
      <c r="E206" s="78"/>
      <c r="F206" s="66" t="s">
        <v>153</v>
      </c>
      <c r="G206" s="71">
        <f t="shared" si="87"/>
        <v>0</v>
      </c>
      <c r="H206" s="71">
        <f t="shared" si="88"/>
        <v>0</v>
      </c>
      <c r="I206" s="71">
        <f t="shared" si="88"/>
        <v>0</v>
      </c>
      <c r="J206" s="71">
        <f>K206+L206</f>
        <v>0</v>
      </c>
      <c r="K206" s="71">
        <v>0</v>
      </c>
      <c r="L206" s="71">
        <v>0</v>
      </c>
      <c r="M206" s="71">
        <v>0</v>
      </c>
      <c r="N206" s="71">
        <f>O206+P206</f>
        <v>0</v>
      </c>
      <c r="O206" s="71">
        <v>0</v>
      </c>
      <c r="P206" s="71">
        <v>0</v>
      </c>
      <c r="Q206" s="71">
        <v>0</v>
      </c>
    </row>
    <row r="207" spans="1:17" ht="28" customHeight="1" x14ac:dyDescent="0.35">
      <c r="A207" s="263" t="s">
        <v>209</v>
      </c>
      <c r="B207" s="215" t="s">
        <v>210</v>
      </c>
      <c r="C207" s="56">
        <f>C208</f>
        <v>0</v>
      </c>
      <c r="D207" s="57">
        <f>D208</f>
        <v>0</v>
      </c>
      <c r="E207" s="58">
        <f>E208</f>
        <v>0</v>
      </c>
      <c r="F207" s="59" t="s">
        <v>211</v>
      </c>
      <c r="G207" s="58">
        <f t="shared" si="87"/>
        <v>35000000</v>
      </c>
      <c r="H207" s="58">
        <f t="shared" si="88"/>
        <v>0</v>
      </c>
      <c r="I207" s="58">
        <f t="shared" si="88"/>
        <v>0</v>
      </c>
      <c r="J207" s="58">
        <f>J208</f>
        <v>0</v>
      </c>
      <c r="K207" s="58">
        <f t="shared" ref="K207:Q208" si="108">K208</f>
        <v>0</v>
      </c>
      <c r="L207" s="58">
        <f t="shared" si="108"/>
        <v>0</v>
      </c>
      <c r="M207" s="58">
        <f t="shared" si="108"/>
        <v>35000000</v>
      </c>
      <c r="N207" s="58">
        <f t="shared" si="108"/>
        <v>0</v>
      </c>
      <c r="O207" s="58">
        <f t="shared" si="108"/>
        <v>0</v>
      </c>
      <c r="P207" s="58">
        <f t="shared" si="108"/>
        <v>0</v>
      </c>
      <c r="Q207" s="58">
        <f t="shared" si="108"/>
        <v>0</v>
      </c>
    </row>
    <row r="208" spans="1:17" ht="28" customHeight="1" x14ac:dyDescent="0.35">
      <c r="A208" s="252"/>
      <c r="B208" s="215"/>
      <c r="C208" s="60">
        <v>0</v>
      </c>
      <c r="D208" s="60">
        <v>0</v>
      </c>
      <c r="E208" s="60">
        <v>0</v>
      </c>
      <c r="F208" s="61" t="s">
        <v>150</v>
      </c>
      <c r="G208" s="60">
        <f t="shared" si="87"/>
        <v>35000000</v>
      </c>
      <c r="H208" s="60">
        <f t="shared" si="88"/>
        <v>0</v>
      </c>
      <c r="I208" s="60">
        <f t="shared" si="88"/>
        <v>0</v>
      </c>
      <c r="J208" s="60">
        <f>J209</f>
        <v>0</v>
      </c>
      <c r="K208" s="60">
        <f t="shared" si="108"/>
        <v>0</v>
      </c>
      <c r="L208" s="60">
        <f t="shared" si="108"/>
        <v>0</v>
      </c>
      <c r="M208" s="60">
        <f t="shared" si="108"/>
        <v>35000000</v>
      </c>
      <c r="N208" s="60">
        <f t="shared" si="108"/>
        <v>0</v>
      </c>
      <c r="O208" s="60">
        <f t="shared" si="108"/>
        <v>0</v>
      </c>
      <c r="P208" s="60">
        <f t="shared" si="108"/>
        <v>0</v>
      </c>
      <c r="Q208" s="60">
        <f t="shared" si="108"/>
        <v>0</v>
      </c>
    </row>
    <row r="209" spans="1:17" ht="28" customHeight="1" x14ac:dyDescent="0.35">
      <c r="A209" s="252"/>
      <c r="B209" s="215"/>
      <c r="C209" s="104"/>
      <c r="D209" s="79"/>
      <c r="E209" s="19"/>
      <c r="F209" s="66" t="s">
        <v>151</v>
      </c>
      <c r="G209" s="67">
        <f t="shared" si="87"/>
        <v>35000000</v>
      </c>
      <c r="H209" s="67">
        <f t="shared" si="88"/>
        <v>0</v>
      </c>
      <c r="I209" s="67">
        <f t="shared" si="88"/>
        <v>0</v>
      </c>
      <c r="J209" s="68">
        <f>K209+L209</f>
        <v>0</v>
      </c>
      <c r="K209" s="67">
        <v>0</v>
      </c>
      <c r="L209" s="67">
        <v>0</v>
      </c>
      <c r="M209" s="68">
        <v>35000000</v>
      </c>
      <c r="N209" s="68">
        <f>O209+P209</f>
        <v>0</v>
      </c>
      <c r="O209" s="68">
        <v>0</v>
      </c>
      <c r="P209" s="68">
        <v>0</v>
      </c>
      <c r="Q209" s="68">
        <v>0</v>
      </c>
    </row>
    <row r="210" spans="1:17" ht="28" customHeight="1" x14ac:dyDescent="0.35">
      <c r="A210" s="263" t="s">
        <v>212</v>
      </c>
      <c r="B210" s="215" t="s">
        <v>213</v>
      </c>
      <c r="C210" s="56">
        <f>C211</f>
        <v>0</v>
      </c>
      <c r="D210" s="57">
        <f>D211</f>
        <v>0</v>
      </c>
      <c r="E210" s="58">
        <f>E211</f>
        <v>0</v>
      </c>
      <c r="F210" s="59" t="s">
        <v>214</v>
      </c>
      <c r="G210" s="58">
        <f t="shared" si="87"/>
        <v>1000000</v>
      </c>
      <c r="H210" s="58">
        <f t="shared" si="88"/>
        <v>0</v>
      </c>
      <c r="I210" s="58">
        <f t="shared" si="88"/>
        <v>0</v>
      </c>
      <c r="J210" s="58">
        <f>J211</f>
        <v>0</v>
      </c>
      <c r="K210" s="58">
        <f t="shared" ref="K210:Q211" si="109">K211</f>
        <v>0</v>
      </c>
      <c r="L210" s="58">
        <f t="shared" si="109"/>
        <v>0</v>
      </c>
      <c r="M210" s="58">
        <f t="shared" si="109"/>
        <v>1000000</v>
      </c>
      <c r="N210" s="58">
        <f t="shared" si="109"/>
        <v>0</v>
      </c>
      <c r="O210" s="58">
        <f t="shared" si="109"/>
        <v>0</v>
      </c>
      <c r="P210" s="58">
        <f t="shared" si="109"/>
        <v>0</v>
      </c>
      <c r="Q210" s="58">
        <f t="shared" si="109"/>
        <v>0</v>
      </c>
    </row>
    <row r="211" spans="1:17" ht="28" customHeight="1" x14ac:dyDescent="0.35">
      <c r="A211" s="252"/>
      <c r="B211" s="215"/>
      <c r="C211" s="60">
        <v>0</v>
      </c>
      <c r="D211" s="60">
        <v>0</v>
      </c>
      <c r="E211" s="60">
        <v>0</v>
      </c>
      <c r="F211" s="61" t="s">
        <v>150</v>
      </c>
      <c r="G211" s="60">
        <f t="shared" si="87"/>
        <v>1000000</v>
      </c>
      <c r="H211" s="60">
        <f t="shared" si="88"/>
        <v>0</v>
      </c>
      <c r="I211" s="60">
        <f t="shared" si="88"/>
        <v>0</v>
      </c>
      <c r="J211" s="60">
        <f>J212</f>
        <v>0</v>
      </c>
      <c r="K211" s="60">
        <f t="shared" si="109"/>
        <v>0</v>
      </c>
      <c r="L211" s="60">
        <f t="shared" si="109"/>
        <v>0</v>
      </c>
      <c r="M211" s="60">
        <f t="shared" si="109"/>
        <v>1000000</v>
      </c>
      <c r="N211" s="60">
        <f t="shared" si="109"/>
        <v>0</v>
      </c>
      <c r="O211" s="60">
        <f t="shared" si="109"/>
        <v>0</v>
      </c>
      <c r="P211" s="60">
        <f t="shared" si="109"/>
        <v>0</v>
      </c>
      <c r="Q211" s="60">
        <f t="shared" si="109"/>
        <v>0</v>
      </c>
    </row>
    <row r="212" spans="1:17" ht="28" customHeight="1" x14ac:dyDescent="0.35">
      <c r="A212" s="252"/>
      <c r="B212" s="215"/>
      <c r="C212" s="104"/>
      <c r="D212" s="73"/>
      <c r="E212" s="19"/>
      <c r="F212" s="66" t="s">
        <v>151</v>
      </c>
      <c r="G212" s="67">
        <f t="shared" si="87"/>
        <v>1000000</v>
      </c>
      <c r="H212" s="67">
        <f t="shared" si="88"/>
        <v>0</v>
      </c>
      <c r="I212" s="67">
        <f t="shared" si="88"/>
        <v>0</v>
      </c>
      <c r="J212" s="68">
        <f>K212+L212</f>
        <v>0</v>
      </c>
      <c r="K212" s="67">
        <v>0</v>
      </c>
      <c r="L212" s="67">
        <v>0</v>
      </c>
      <c r="M212" s="68">
        <v>1000000</v>
      </c>
      <c r="N212" s="68">
        <f>O212+P212</f>
        <v>0</v>
      </c>
      <c r="O212" s="68">
        <v>0</v>
      </c>
      <c r="P212" s="68">
        <v>0</v>
      </c>
      <c r="Q212" s="68">
        <v>0</v>
      </c>
    </row>
    <row r="213" spans="1:17" ht="52" x14ac:dyDescent="0.35">
      <c r="A213" s="87" t="s">
        <v>215</v>
      </c>
      <c r="B213" s="88" t="s">
        <v>216</v>
      </c>
      <c r="C213" s="52">
        <f>C214+C221+C228+C236+C239</f>
        <v>61654106</v>
      </c>
      <c r="D213" s="52">
        <f>D214+D221+D228+D236+D239</f>
        <v>18000000</v>
      </c>
      <c r="E213" s="53">
        <f>E214+E221+E228+E236+E239</f>
        <v>40000000</v>
      </c>
      <c r="F213" s="54" t="s">
        <v>217</v>
      </c>
      <c r="G213" s="52">
        <f t="shared" si="87"/>
        <v>274966106</v>
      </c>
      <c r="H213" s="52">
        <f t="shared" ref="H213:I241" si="110">K213+O213</f>
        <v>244085932</v>
      </c>
      <c r="I213" s="52">
        <f t="shared" si="110"/>
        <v>30880174</v>
      </c>
      <c r="J213" s="52">
        <f>J214+J221+J228+J236+J239</f>
        <v>274966106</v>
      </c>
      <c r="K213" s="52">
        <f t="shared" ref="K213:Q213" si="111">K214+K221+K228+K236+K239</f>
        <v>244085932</v>
      </c>
      <c r="L213" s="52">
        <f t="shared" si="111"/>
        <v>30880174</v>
      </c>
      <c r="M213" s="52">
        <f t="shared" si="111"/>
        <v>0</v>
      </c>
      <c r="N213" s="52">
        <f t="shared" si="111"/>
        <v>0</v>
      </c>
      <c r="O213" s="52">
        <f t="shared" si="111"/>
        <v>0</v>
      </c>
      <c r="P213" s="52">
        <f t="shared" si="111"/>
        <v>0</v>
      </c>
      <c r="Q213" s="52">
        <f t="shared" si="111"/>
        <v>0</v>
      </c>
    </row>
    <row r="214" spans="1:17" ht="28" customHeight="1" x14ac:dyDescent="0.35">
      <c r="A214" s="252" t="s">
        <v>218</v>
      </c>
      <c r="B214" s="251" t="s">
        <v>219</v>
      </c>
      <c r="C214" s="57">
        <f>C215+C219</f>
        <v>2346730</v>
      </c>
      <c r="D214" s="57">
        <f>D215+D219</f>
        <v>0</v>
      </c>
      <c r="E214" s="57">
        <f>E215+E219</f>
        <v>0</v>
      </c>
      <c r="F214" s="59" t="s">
        <v>220</v>
      </c>
      <c r="G214" s="58">
        <f t="shared" si="87"/>
        <v>7146730</v>
      </c>
      <c r="H214" s="58">
        <f t="shared" si="110"/>
        <v>5313077</v>
      </c>
      <c r="I214" s="58">
        <f t="shared" si="110"/>
        <v>1833653</v>
      </c>
      <c r="J214" s="58">
        <f>J215+J219</f>
        <v>7146730</v>
      </c>
      <c r="K214" s="58">
        <f t="shared" ref="K214:Q214" si="112">K215+K219</f>
        <v>5313077</v>
      </c>
      <c r="L214" s="58">
        <f t="shared" si="112"/>
        <v>1833653</v>
      </c>
      <c r="M214" s="58">
        <f t="shared" si="112"/>
        <v>0</v>
      </c>
      <c r="N214" s="58">
        <f t="shared" si="112"/>
        <v>0</v>
      </c>
      <c r="O214" s="58">
        <f t="shared" si="112"/>
        <v>0</v>
      </c>
      <c r="P214" s="58">
        <f t="shared" si="112"/>
        <v>0</v>
      </c>
      <c r="Q214" s="58">
        <f t="shared" si="112"/>
        <v>0</v>
      </c>
    </row>
    <row r="215" spans="1:17" ht="28" customHeight="1" x14ac:dyDescent="0.35">
      <c r="A215" s="252"/>
      <c r="B215" s="251"/>
      <c r="C215" s="69">
        <f>G217+G218</f>
        <v>2346730</v>
      </c>
      <c r="D215" s="60">
        <v>0</v>
      </c>
      <c r="E215" s="60">
        <v>0</v>
      </c>
      <c r="F215" s="61" t="s">
        <v>150</v>
      </c>
      <c r="G215" s="60">
        <f t="shared" si="87"/>
        <v>7146730</v>
      </c>
      <c r="H215" s="60">
        <f t="shared" si="110"/>
        <v>5313077</v>
      </c>
      <c r="I215" s="60">
        <f t="shared" si="110"/>
        <v>1833653</v>
      </c>
      <c r="J215" s="60">
        <f>J216+J217+J218</f>
        <v>7146730</v>
      </c>
      <c r="K215" s="60">
        <f t="shared" ref="K215:Q215" si="113">K216+K217+K218</f>
        <v>5313077</v>
      </c>
      <c r="L215" s="60">
        <f t="shared" si="113"/>
        <v>1833653</v>
      </c>
      <c r="M215" s="60">
        <f t="shared" si="113"/>
        <v>0</v>
      </c>
      <c r="N215" s="60">
        <f t="shared" si="113"/>
        <v>0</v>
      </c>
      <c r="O215" s="60">
        <f t="shared" si="113"/>
        <v>0</v>
      </c>
      <c r="P215" s="60">
        <f t="shared" si="113"/>
        <v>0</v>
      </c>
      <c r="Q215" s="60">
        <f t="shared" si="113"/>
        <v>0</v>
      </c>
    </row>
    <row r="216" spans="1:17" ht="28" customHeight="1" x14ac:dyDescent="0.35">
      <c r="A216" s="252"/>
      <c r="B216" s="251"/>
      <c r="C216" s="78"/>
      <c r="D216" s="78"/>
      <c r="E216" s="19"/>
      <c r="F216" s="66" t="s">
        <v>151</v>
      </c>
      <c r="G216" s="67">
        <f t="shared" si="87"/>
        <v>4800000</v>
      </c>
      <c r="H216" s="67">
        <f t="shared" si="110"/>
        <v>3120332</v>
      </c>
      <c r="I216" s="67">
        <f t="shared" si="110"/>
        <v>1679668</v>
      </c>
      <c r="J216" s="67">
        <f>K216+L216</f>
        <v>4800000</v>
      </c>
      <c r="K216" s="67">
        <v>3120332</v>
      </c>
      <c r="L216" s="67">
        <v>1679668</v>
      </c>
      <c r="M216" s="67">
        <v>0</v>
      </c>
      <c r="N216" s="67">
        <f>O216+P216</f>
        <v>0</v>
      </c>
      <c r="O216" s="67">
        <v>0</v>
      </c>
      <c r="P216" s="67">
        <v>0</v>
      </c>
      <c r="Q216" s="67">
        <v>0</v>
      </c>
    </row>
    <row r="217" spans="1:17" ht="28" customHeight="1" x14ac:dyDescent="0.35">
      <c r="A217" s="252"/>
      <c r="B217" s="251"/>
      <c r="C217" s="78"/>
      <c r="D217" s="78"/>
      <c r="E217" s="19"/>
      <c r="F217" s="66" t="s">
        <v>152</v>
      </c>
      <c r="G217" s="71">
        <f t="shared" si="87"/>
        <v>1565975</v>
      </c>
      <c r="H217" s="71">
        <f t="shared" si="110"/>
        <v>1411990</v>
      </c>
      <c r="I217" s="71">
        <f t="shared" si="110"/>
        <v>153985</v>
      </c>
      <c r="J217" s="71">
        <f>K217+L217</f>
        <v>1565975</v>
      </c>
      <c r="K217" s="71">
        <f>2516973-246441-600993-257549</f>
        <v>1411990</v>
      </c>
      <c r="L217" s="71">
        <v>153985</v>
      </c>
      <c r="M217" s="71">
        <v>0</v>
      </c>
      <c r="N217" s="71">
        <f>O217+P217</f>
        <v>0</v>
      </c>
      <c r="O217" s="71">
        <v>0</v>
      </c>
      <c r="P217" s="71">
        <v>0</v>
      </c>
      <c r="Q217" s="71">
        <v>0</v>
      </c>
    </row>
    <row r="218" spans="1:17" ht="28" customHeight="1" x14ac:dyDescent="0.35">
      <c r="A218" s="252"/>
      <c r="B218" s="251"/>
      <c r="C218" s="78"/>
      <c r="D218" s="78"/>
      <c r="E218" s="19"/>
      <c r="F218" s="66" t="s">
        <v>153</v>
      </c>
      <c r="G218" s="71">
        <f t="shared" si="87"/>
        <v>780755</v>
      </c>
      <c r="H218" s="71">
        <f t="shared" si="110"/>
        <v>780755</v>
      </c>
      <c r="I218" s="71">
        <f t="shared" si="110"/>
        <v>0</v>
      </c>
      <c r="J218" s="71">
        <f>K218+L218</f>
        <v>780755</v>
      </c>
      <c r="K218" s="71">
        <f>1975057-52208-179059-50000-67542-60504-43182-741807</f>
        <v>780755</v>
      </c>
      <c r="L218" s="71">
        <f>153985-153985</f>
        <v>0</v>
      </c>
      <c r="M218" s="71">
        <v>0</v>
      </c>
      <c r="N218" s="71">
        <f>O218+P218</f>
        <v>0</v>
      </c>
      <c r="O218" s="71">
        <v>0</v>
      </c>
      <c r="P218" s="71">
        <v>0</v>
      </c>
      <c r="Q218" s="71">
        <v>0</v>
      </c>
    </row>
    <row r="219" spans="1:17" ht="28" customHeight="1" x14ac:dyDescent="0.35">
      <c r="A219" s="252"/>
      <c r="B219" s="251"/>
      <c r="C219" s="60">
        <v>0</v>
      </c>
      <c r="D219" s="102">
        <f>G220</f>
        <v>0</v>
      </c>
      <c r="E219" s="60">
        <v>0</v>
      </c>
      <c r="F219" s="61" t="s">
        <v>186</v>
      </c>
      <c r="G219" s="60">
        <f t="shared" si="87"/>
        <v>0</v>
      </c>
      <c r="H219" s="60">
        <f t="shared" si="110"/>
        <v>0</v>
      </c>
      <c r="I219" s="60">
        <f t="shared" si="110"/>
        <v>0</v>
      </c>
      <c r="J219" s="60">
        <f>J220</f>
        <v>0</v>
      </c>
      <c r="K219" s="60">
        <f t="shared" ref="K219:Q219" si="114">K220</f>
        <v>0</v>
      </c>
      <c r="L219" s="60">
        <f t="shared" si="114"/>
        <v>0</v>
      </c>
      <c r="M219" s="60">
        <f t="shared" si="114"/>
        <v>0</v>
      </c>
      <c r="N219" s="60">
        <f t="shared" si="114"/>
        <v>0</v>
      </c>
      <c r="O219" s="60">
        <f t="shared" si="114"/>
        <v>0</v>
      </c>
      <c r="P219" s="60">
        <f t="shared" si="114"/>
        <v>0</v>
      </c>
      <c r="Q219" s="60">
        <f t="shared" si="114"/>
        <v>0</v>
      </c>
    </row>
    <row r="220" spans="1:17" ht="28" customHeight="1" x14ac:dyDescent="0.35">
      <c r="A220" s="252"/>
      <c r="B220" s="251"/>
      <c r="C220" s="78"/>
      <c r="D220" s="78"/>
      <c r="E220" s="19"/>
      <c r="F220" s="66" t="s">
        <v>187</v>
      </c>
      <c r="G220" s="103">
        <f t="shared" si="87"/>
        <v>0</v>
      </c>
      <c r="H220" s="103">
        <f t="shared" si="110"/>
        <v>0</v>
      </c>
      <c r="I220" s="103">
        <f t="shared" si="110"/>
        <v>0</v>
      </c>
      <c r="J220" s="103">
        <f>K220+L220</f>
        <v>0</v>
      </c>
      <c r="K220" s="103">
        <v>0</v>
      </c>
      <c r="L220" s="103">
        <v>0</v>
      </c>
      <c r="M220" s="103">
        <v>0</v>
      </c>
      <c r="N220" s="103">
        <f>O220+P220</f>
        <v>0</v>
      </c>
      <c r="O220" s="103">
        <v>0</v>
      </c>
      <c r="P220" s="103">
        <v>0</v>
      </c>
      <c r="Q220" s="103">
        <v>0</v>
      </c>
    </row>
    <row r="221" spans="1:17" ht="28" customHeight="1" x14ac:dyDescent="0.35">
      <c r="A221" s="252" t="s">
        <v>221</v>
      </c>
      <c r="B221" s="251" t="s">
        <v>222</v>
      </c>
      <c r="C221" s="57">
        <f>C222+C226</f>
        <v>35450542</v>
      </c>
      <c r="D221" s="57">
        <f>D222+D226</f>
        <v>18000000</v>
      </c>
      <c r="E221" s="57">
        <f>E222+E226</f>
        <v>0</v>
      </c>
      <c r="F221" s="59" t="s">
        <v>223</v>
      </c>
      <c r="G221" s="58">
        <f t="shared" si="87"/>
        <v>119805542</v>
      </c>
      <c r="H221" s="58">
        <f t="shared" si="110"/>
        <v>107971865</v>
      </c>
      <c r="I221" s="58">
        <f t="shared" si="110"/>
        <v>11833677</v>
      </c>
      <c r="J221" s="58">
        <f>J222+J226</f>
        <v>119805542</v>
      </c>
      <c r="K221" s="58">
        <f t="shared" ref="K221:Q221" si="115">K222+K226</f>
        <v>107971865</v>
      </c>
      <c r="L221" s="58">
        <f t="shared" si="115"/>
        <v>11833677</v>
      </c>
      <c r="M221" s="58">
        <f t="shared" si="115"/>
        <v>0</v>
      </c>
      <c r="N221" s="58">
        <f t="shared" si="115"/>
        <v>0</v>
      </c>
      <c r="O221" s="58">
        <f t="shared" si="115"/>
        <v>0</v>
      </c>
      <c r="P221" s="58">
        <f t="shared" si="115"/>
        <v>0</v>
      </c>
      <c r="Q221" s="58">
        <f t="shared" si="115"/>
        <v>0</v>
      </c>
    </row>
    <row r="222" spans="1:17" ht="28" customHeight="1" x14ac:dyDescent="0.35">
      <c r="A222" s="252"/>
      <c r="B222" s="251"/>
      <c r="C222" s="69">
        <f>G224+G225</f>
        <v>35450542</v>
      </c>
      <c r="D222" s="60">
        <v>0</v>
      </c>
      <c r="E222" s="60">
        <v>0</v>
      </c>
      <c r="F222" s="61" t="s">
        <v>150</v>
      </c>
      <c r="G222" s="60">
        <f t="shared" si="87"/>
        <v>101805542</v>
      </c>
      <c r="H222" s="60">
        <f t="shared" si="110"/>
        <v>89971865</v>
      </c>
      <c r="I222" s="60">
        <f t="shared" si="110"/>
        <v>11833677</v>
      </c>
      <c r="J222" s="60">
        <f>J223+J224+J225</f>
        <v>101805542</v>
      </c>
      <c r="K222" s="60">
        <f t="shared" ref="K222:Q222" si="116">K223+K224+K225</f>
        <v>89971865</v>
      </c>
      <c r="L222" s="60">
        <f t="shared" si="116"/>
        <v>11833677</v>
      </c>
      <c r="M222" s="60">
        <f t="shared" si="116"/>
        <v>0</v>
      </c>
      <c r="N222" s="60">
        <f t="shared" si="116"/>
        <v>0</v>
      </c>
      <c r="O222" s="60">
        <f t="shared" si="116"/>
        <v>0</v>
      </c>
      <c r="P222" s="60">
        <f t="shared" si="116"/>
        <v>0</v>
      </c>
      <c r="Q222" s="60">
        <f t="shared" si="116"/>
        <v>0</v>
      </c>
    </row>
    <row r="223" spans="1:17" ht="28" customHeight="1" x14ac:dyDescent="0.35">
      <c r="A223" s="252"/>
      <c r="B223" s="251"/>
      <c r="C223" s="78"/>
      <c r="D223" s="78"/>
      <c r="E223" s="19"/>
      <c r="F223" s="66" t="s">
        <v>151</v>
      </c>
      <c r="G223" s="67">
        <f t="shared" si="87"/>
        <v>66355000</v>
      </c>
      <c r="H223" s="67">
        <f t="shared" si="110"/>
        <v>57130423</v>
      </c>
      <c r="I223" s="67">
        <f t="shared" si="110"/>
        <v>9224577</v>
      </c>
      <c r="J223" s="67">
        <f>K223+L223</f>
        <v>66355000</v>
      </c>
      <c r="K223" s="67">
        <v>57130423</v>
      </c>
      <c r="L223" s="67">
        <v>9224577</v>
      </c>
      <c r="M223" s="67">
        <v>0</v>
      </c>
      <c r="N223" s="67">
        <f>O223+P223</f>
        <v>0</v>
      </c>
      <c r="O223" s="67">
        <v>0</v>
      </c>
      <c r="P223" s="67">
        <v>0</v>
      </c>
      <c r="Q223" s="67">
        <v>0</v>
      </c>
    </row>
    <row r="224" spans="1:17" ht="28" customHeight="1" x14ac:dyDescent="0.35">
      <c r="A224" s="252"/>
      <c r="B224" s="251"/>
      <c r="C224" s="78"/>
      <c r="D224" s="78"/>
      <c r="E224" s="19"/>
      <c r="F224" s="66" t="s">
        <v>152</v>
      </c>
      <c r="G224" s="71">
        <f t="shared" si="87"/>
        <v>19201722</v>
      </c>
      <c r="H224" s="71">
        <f t="shared" si="110"/>
        <v>19201722</v>
      </c>
      <c r="I224" s="71">
        <f t="shared" si="110"/>
        <v>0</v>
      </c>
      <c r="J224" s="71">
        <f>K224+L224</f>
        <v>19201722</v>
      </c>
      <c r="K224" s="71">
        <f>13469618+543639+1087472+600993+3500000</f>
        <v>19201722</v>
      </c>
      <c r="L224" s="71">
        <f>2407909-2407909</f>
        <v>0</v>
      </c>
      <c r="M224" s="71">
        <v>0</v>
      </c>
      <c r="N224" s="71">
        <f>O224+P224</f>
        <v>0</v>
      </c>
      <c r="O224" s="71">
        <v>0</v>
      </c>
      <c r="P224" s="71">
        <v>0</v>
      </c>
      <c r="Q224" s="71">
        <v>0</v>
      </c>
    </row>
    <row r="225" spans="1:17" ht="28" customHeight="1" x14ac:dyDescent="0.35">
      <c r="A225" s="252"/>
      <c r="B225" s="251"/>
      <c r="C225" s="78"/>
      <c r="D225" s="78"/>
      <c r="E225" s="19"/>
      <c r="F225" s="66" t="s">
        <v>153</v>
      </c>
      <c r="G225" s="71">
        <f t="shared" si="87"/>
        <v>16248820</v>
      </c>
      <c r="H225" s="71">
        <f t="shared" si="110"/>
        <v>13639720</v>
      </c>
      <c r="I225" s="71">
        <f t="shared" si="110"/>
        <v>2609100</v>
      </c>
      <c r="J225" s="71">
        <f>K225+L225</f>
        <v>16248820</v>
      </c>
      <c r="K225" s="71">
        <f>17609959+52208+50000+918298+158685+60504+377079-5587013</f>
        <v>13639720</v>
      </c>
      <c r="L225" s="71">
        <f>6867514-4258414</f>
        <v>2609100</v>
      </c>
      <c r="M225" s="71">
        <v>0</v>
      </c>
      <c r="N225" s="71">
        <f>O225+P225</f>
        <v>0</v>
      </c>
      <c r="O225" s="71">
        <v>0</v>
      </c>
      <c r="P225" s="71">
        <v>0</v>
      </c>
      <c r="Q225" s="71">
        <v>0</v>
      </c>
    </row>
    <row r="226" spans="1:17" ht="28" customHeight="1" x14ac:dyDescent="0.35">
      <c r="A226" s="252"/>
      <c r="B226" s="251"/>
      <c r="C226" s="60">
        <v>0</v>
      </c>
      <c r="D226" s="102">
        <f>G227</f>
        <v>18000000</v>
      </c>
      <c r="E226" s="60">
        <v>0</v>
      </c>
      <c r="F226" s="61" t="s">
        <v>186</v>
      </c>
      <c r="G226" s="60">
        <f t="shared" si="87"/>
        <v>18000000</v>
      </c>
      <c r="H226" s="60">
        <f t="shared" si="110"/>
        <v>18000000</v>
      </c>
      <c r="I226" s="60">
        <f t="shared" si="110"/>
        <v>0</v>
      </c>
      <c r="J226" s="60">
        <f>J227</f>
        <v>18000000</v>
      </c>
      <c r="K226" s="60">
        <f t="shared" ref="K226:Q226" si="117">K227</f>
        <v>18000000</v>
      </c>
      <c r="L226" s="60">
        <f t="shared" si="117"/>
        <v>0</v>
      </c>
      <c r="M226" s="60">
        <f t="shared" si="117"/>
        <v>0</v>
      </c>
      <c r="N226" s="60">
        <f t="shared" si="117"/>
        <v>0</v>
      </c>
      <c r="O226" s="60">
        <f t="shared" si="117"/>
        <v>0</v>
      </c>
      <c r="P226" s="60">
        <f t="shared" si="117"/>
        <v>0</v>
      </c>
      <c r="Q226" s="60">
        <f t="shared" si="117"/>
        <v>0</v>
      </c>
    </row>
    <row r="227" spans="1:17" ht="28" customHeight="1" x14ac:dyDescent="0.35">
      <c r="A227" s="252"/>
      <c r="B227" s="251"/>
      <c r="C227" s="78"/>
      <c r="D227" s="78"/>
      <c r="E227" s="19"/>
      <c r="F227" s="66" t="s">
        <v>187</v>
      </c>
      <c r="G227" s="103">
        <f t="shared" ref="G227:G276" si="118">J227+M227+N227+Q227</f>
        <v>18000000</v>
      </c>
      <c r="H227" s="103">
        <f t="shared" si="110"/>
        <v>18000000</v>
      </c>
      <c r="I227" s="103">
        <f t="shared" si="110"/>
        <v>0</v>
      </c>
      <c r="J227" s="103">
        <f>K227+L227</f>
        <v>18000000</v>
      </c>
      <c r="K227" s="103">
        <v>18000000</v>
      </c>
      <c r="L227" s="103">
        <v>0</v>
      </c>
      <c r="M227" s="103">
        <v>0</v>
      </c>
      <c r="N227" s="103">
        <f>O227+P227</f>
        <v>0</v>
      </c>
      <c r="O227" s="103">
        <v>0</v>
      </c>
      <c r="P227" s="103">
        <v>0</v>
      </c>
      <c r="Q227" s="103">
        <v>0</v>
      </c>
    </row>
    <row r="228" spans="1:17" ht="28" customHeight="1" x14ac:dyDescent="0.35">
      <c r="A228" s="252" t="s">
        <v>224</v>
      </c>
      <c r="B228" s="251" t="s">
        <v>225</v>
      </c>
      <c r="C228" s="57">
        <f>C229+C234</f>
        <v>23856834</v>
      </c>
      <c r="D228" s="57">
        <f>D229+D234</f>
        <v>0</v>
      </c>
      <c r="E228" s="57">
        <f>E229+E234</f>
        <v>40000000</v>
      </c>
      <c r="F228" s="59" t="s">
        <v>226</v>
      </c>
      <c r="G228" s="58">
        <f t="shared" si="118"/>
        <v>144813834</v>
      </c>
      <c r="H228" s="58">
        <f t="shared" si="110"/>
        <v>127700990</v>
      </c>
      <c r="I228" s="58">
        <f t="shared" si="110"/>
        <v>17112844</v>
      </c>
      <c r="J228" s="58">
        <f>J229+J234</f>
        <v>144813834</v>
      </c>
      <c r="K228" s="58">
        <f t="shared" ref="K228:Q228" si="119">K229+K234</f>
        <v>127700990</v>
      </c>
      <c r="L228" s="58">
        <f t="shared" si="119"/>
        <v>17112844</v>
      </c>
      <c r="M228" s="58">
        <f t="shared" si="119"/>
        <v>0</v>
      </c>
      <c r="N228" s="58">
        <f t="shared" si="119"/>
        <v>0</v>
      </c>
      <c r="O228" s="58">
        <f t="shared" si="119"/>
        <v>0</v>
      </c>
      <c r="P228" s="58">
        <f t="shared" si="119"/>
        <v>0</v>
      </c>
      <c r="Q228" s="58">
        <f t="shared" si="119"/>
        <v>0</v>
      </c>
    </row>
    <row r="229" spans="1:17" ht="28" customHeight="1" x14ac:dyDescent="0.35">
      <c r="A229" s="252"/>
      <c r="B229" s="251"/>
      <c r="C229" s="69">
        <f>G231+G232</f>
        <v>23856834</v>
      </c>
      <c r="D229" s="60">
        <v>0</v>
      </c>
      <c r="E229" s="72">
        <f>G233</f>
        <v>40000000</v>
      </c>
      <c r="F229" s="61" t="s">
        <v>150</v>
      </c>
      <c r="G229" s="60">
        <f t="shared" si="118"/>
        <v>144813834</v>
      </c>
      <c r="H229" s="60">
        <f t="shared" si="110"/>
        <v>127700990</v>
      </c>
      <c r="I229" s="60">
        <f t="shared" si="110"/>
        <v>17112844</v>
      </c>
      <c r="J229" s="60">
        <f>J230+J231+J232+J233</f>
        <v>144813834</v>
      </c>
      <c r="K229" s="60">
        <f t="shared" ref="K229:Q229" si="120">K230+K231+K232+K233</f>
        <v>127700990</v>
      </c>
      <c r="L229" s="60">
        <f t="shared" si="120"/>
        <v>17112844</v>
      </c>
      <c r="M229" s="60">
        <f t="shared" si="120"/>
        <v>0</v>
      </c>
      <c r="N229" s="60">
        <f t="shared" si="120"/>
        <v>0</v>
      </c>
      <c r="O229" s="60">
        <f t="shared" si="120"/>
        <v>0</v>
      </c>
      <c r="P229" s="60">
        <f t="shared" si="120"/>
        <v>0</v>
      </c>
      <c r="Q229" s="60">
        <f t="shared" si="120"/>
        <v>0</v>
      </c>
    </row>
    <row r="230" spans="1:17" ht="28" customHeight="1" x14ac:dyDescent="0.35">
      <c r="A230" s="252"/>
      <c r="B230" s="251"/>
      <c r="C230" s="78"/>
      <c r="D230" s="78"/>
      <c r="E230" s="19"/>
      <c r="F230" s="66" t="s">
        <v>151</v>
      </c>
      <c r="G230" s="67">
        <f t="shared" si="118"/>
        <v>80957000</v>
      </c>
      <c r="H230" s="67">
        <f t="shared" si="110"/>
        <v>74157555</v>
      </c>
      <c r="I230" s="67">
        <f t="shared" si="110"/>
        <v>6799445</v>
      </c>
      <c r="J230" s="67">
        <f>K230+L230</f>
        <v>80957000</v>
      </c>
      <c r="K230" s="67">
        <v>74157555</v>
      </c>
      <c r="L230" s="67">
        <v>6799445</v>
      </c>
      <c r="M230" s="67">
        <v>0</v>
      </c>
      <c r="N230" s="67">
        <f>O230+P230</f>
        <v>0</v>
      </c>
      <c r="O230" s="67">
        <v>0</v>
      </c>
      <c r="P230" s="67">
        <v>0</v>
      </c>
      <c r="Q230" s="67">
        <v>0</v>
      </c>
    </row>
    <row r="231" spans="1:17" ht="28" customHeight="1" x14ac:dyDescent="0.35">
      <c r="A231" s="252"/>
      <c r="B231" s="251"/>
      <c r="C231" s="78"/>
      <c r="D231" s="78"/>
      <c r="E231" s="19"/>
      <c r="F231" s="66" t="s">
        <v>152</v>
      </c>
      <c r="G231" s="71">
        <f t="shared" si="118"/>
        <v>13015673</v>
      </c>
      <c r="H231" s="71">
        <f t="shared" si="110"/>
        <v>13015673</v>
      </c>
      <c r="I231" s="71">
        <f t="shared" si="110"/>
        <v>0</v>
      </c>
      <c r="J231" s="71">
        <f>K231+L231</f>
        <v>13015673</v>
      </c>
      <c r="K231" s="71">
        <f>13796733+1087472+246441+318800+1066227-3500000</f>
        <v>13015673</v>
      </c>
      <c r="L231" s="71">
        <f>3547297-3547297</f>
        <v>0</v>
      </c>
      <c r="M231" s="71">
        <v>0</v>
      </c>
      <c r="N231" s="71">
        <f>O231+P231</f>
        <v>0</v>
      </c>
      <c r="O231" s="71">
        <v>0</v>
      </c>
      <c r="P231" s="71">
        <v>0</v>
      </c>
      <c r="Q231" s="71">
        <v>0</v>
      </c>
    </row>
    <row r="232" spans="1:17" ht="28" customHeight="1" x14ac:dyDescent="0.35">
      <c r="A232" s="252"/>
      <c r="B232" s="251"/>
      <c r="C232" s="78"/>
      <c r="D232" s="78"/>
      <c r="E232" s="19"/>
      <c r="F232" s="66" t="s">
        <v>153</v>
      </c>
      <c r="G232" s="71">
        <f t="shared" si="118"/>
        <v>10841161</v>
      </c>
      <c r="H232" s="71">
        <f t="shared" si="110"/>
        <v>5801161</v>
      </c>
      <c r="I232" s="71">
        <f t="shared" si="110"/>
        <v>5040000</v>
      </c>
      <c r="J232" s="71">
        <f>K232+L232</f>
        <v>10841161</v>
      </c>
      <c r="K232" s="71">
        <f>12309111-918298-377079-269118+179059+67542-5190056</f>
        <v>5801161</v>
      </c>
      <c r="L232" s="71">
        <f>5789859-749859</f>
        <v>5040000</v>
      </c>
      <c r="M232" s="71">
        <v>0</v>
      </c>
      <c r="N232" s="71">
        <f>O232+P232</f>
        <v>0</v>
      </c>
      <c r="O232" s="71">
        <v>0</v>
      </c>
      <c r="P232" s="71">
        <v>0</v>
      </c>
      <c r="Q232" s="71">
        <v>0</v>
      </c>
    </row>
    <row r="233" spans="1:17" ht="28" customHeight="1" x14ac:dyDescent="0.35">
      <c r="A233" s="252"/>
      <c r="B233" s="251"/>
      <c r="C233" s="78"/>
      <c r="D233" s="78"/>
      <c r="E233" s="19"/>
      <c r="F233" s="66" t="s">
        <v>227</v>
      </c>
      <c r="G233" s="74">
        <f t="shared" si="118"/>
        <v>40000000</v>
      </c>
      <c r="H233" s="74">
        <f t="shared" si="110"/>
        <v>34726601</v>
      </c>
      <c r="I233" s="74">
        <f t="shared" si="110"/>
        <v>5273399</v>
      </c>
      <c r="J233" s="74">
        <f>K233+L233</f>
        <v>40000000</v>
      </c>
      <c r="K233" s="74">
        <v>34726601</v>
      </c>
      <c r="L233" s="74">
        <v>5273399</v>
      </c>
      <c r="M233" s="74">
        <v>0</v>
      </c>
      <c r="N233" s="74">
        <f>O233+P233</f>
        <v>0</v>
      </c>
      <c r="O233" s="74">
        <v>0</v>
      </c>
      <c r="P233" s="74">
        <v>0</v>
      </c>
      <c r="Q233" s="74">
        <v>0</v>
      </c>
    </row>
    <row r="234" spans="1:17" ht="28" customHeight="1" x14ac:dyDescent="0.35">
      <c r="A234" s="252"/>
      <c r="B234" s="251"/>
      <c r="C234" s="60">
        <v>0</v>
      </c>
      <c r="D234" s="102">
        <f>G235</f>
        <v>0</v>
      </c>
      <c r="E234" s="60">
        <v>0</v>
      </c>
      <c r="F234" s="61" t="s">
        <v>186</v>
      </c>
      <c r="G234" s="60">
        <f t="shared" si="118"/>
        <v>0</v>
      </c>
      <c r="H234" s="60">
        <f t="shared" si="110"/>
        <v>0</v>
      </c>
      <c r="I234" s="60">
        <f t="shared" si="110"/>
        <v>0</v>
      </c>
      <c r="J234" s="60">
        <f>J235</f>
        <v>0</v>
      </c>
      <c r="K234" s="60">
        <f t="shared" ref="K234:Q234" si="121">K235</f>
        <v>0</v>
      </c>
      <c r="L234" s="60">
        <f t="shared" si="121"/>
        <v>0</v>
      </c>
      <c r="M234" s="60">
        <f t="shared" si="121"/>
        <v>0</v>
      </c>
      <c r="N234" s="60">
        <f t="shared" si="121"/>
        <v>0</v>
      </c>
      <c r="O234" s="60">
        <f t="shared" si="121"/>
        <v>0</v>
      </c>
      <c r="P234" s="60">
        <f t="shared" si="121"/>
        <v>0</v>
      </c>
      <c r="Q234" s="60">
        <f t="shared" si="121"/>
        <v>0</v>
      </c>
    </row>
    <row r="235" spans="1:17" ht="28" customHeight="1" x14ac:dyDescent="0.35">
      <c r="A235" s="252"/>
      <c r="B235" s="251"/>
      <c r="C235" s="78"/>
      <c r="D235" s="78"/>
      <c r="E235" s="19"/>
      <c r="F235" s="66" t="s">
        <v>187</v>
      </c>
      <c r="G235" s="103">
        <f t="shared" si="118"/>
        <v>0</v>
      </c>
      <c r="H235" s="103">
        <f t="shared" si="110"/>
        <v>0</v>
      </c>
      <c r="I235" s="103">
        <f t="shared" si="110"/>
        <v>0</v>
      </c>
      <c r="J235" s="103">
        <f>K235+L235</f>
        <v>0</v>
      </c>
      <c r="K235" s="103">
        <v>0</v>
      </c>
      <c r="L235" s="103">
        <v>0</v>
      </c>
      <c r="M235" s="103">
        <v>0</v>
      </c>
      <c r="N235" s="103">
        <f>O235+P235</f>
        <v>0</v>
      </c>
      <c r="O235" s="103">
        <v>0</v>
      </c>
      <c r="P235" s="103">
        <v>0</v>
      </c>
      <c r="Q235" s="103">
        <v>0</v>
      </c>
    </row>
    <row r="236" spans="1:17" ht="59.5" customHeight="1" x14ac:dyDescent="0.35">
      <c r="A236" s="252" t="s">
        <v>228</v>
      </c>
      <c r="B236" s="251" t="s">
        <v>229</v>
      </c>
      <c r="C236" s="56">
        <f>C237</f>
        <v>0</v>
      </c>
      <c r="D236" s="57">
        <f>D237</f>
        <v>0</v>
      </c>
      <c r="E236" s="58">
        <f>E237</f>
        <v>0</v>
      </c>
      <c r="F236" s="59" t="s">
        <v>230</v>
      </c>
      <c r="G236" s="58">
        <f t="shared" si="118"/>
        <v>2200000</v>
      </c>
      <c r="H236" s="58">
        <f t="shared" si="110"/>
        <v>2100000</v>
      </c>
      <c r="I236" s="58">
        <f t="shared" si="110"/>
        <v>100000</v>
      </c>
      <c r="J236" s="58">
        <f>J237</f>
        <v>2200000</v>
      </c>
      <c r="K236" s="58">
        <f t="shared" ref="K236:Q237" si="122">K237</f>
        <v>2100000</v>
      </c>
      <c r="L236" s="58">
        <f t="shared" si="122"/>
        <v>100000</v>
      </c>
      <c r="M236" s="58">
        <f t="shared" si="122"/>
        <v>0</v>
      </c>
      <c r="N236" s="58">
        <f t="shared" si="122"/>
        <v>0</v>
      </c>
      <c r="O236" s="58">
        <f t="shared" si="122"/>
        <v>0</v>
      </c>
      <c r="P236" s="58">
        <f t="shared" si="122"/>
        <v>0</v>
      </c>
      <c r="Q236" s="58">
        <f t="shared" si="122"/>
        <v>0</v>
      </c>
    </row>
    <row r="237" spans="1:17" ht="28" customHeight="1" x14ac:dyDescent="0.35">
      <c r="A237" s="252"/>
      <c r="B237" s="251"/>
      <c r="C237" s="60">
        <v>0</v>
      </c>
      <c r="D237" s="60">
        <v>0</v>
      </c>
      <c r="E237" s="60">
        <v>0</v>
      </c>
      <c r="F237" s="61" t="s">
        <v>150</v>
      </c>
      <c r="G237" s="60">
        <f t="shared" si="118"/>
        <v>2200000</v>
      </c>
      <c r="H237" s="60">
        <f t="shared" si="110"/>
        <v>2100000</v>
      </c>
      <c r="I237" s="60">
        <f t="shared" si="110"/>
        <v>100000</v>
      </c>
      <c r="J237" s="60">
        <f>J238</f>
        <v>2200000</v>
      </c>
      <c r="K237" s="60">
        <f t="shared" si="122"/>
        <v>2100000</v>
      </c>
      <c r="L237" s="60">
        <f t="shared" si="122"/>
        <v>100000</v>
      </c>
      <c r="M237" s="60">
        <f t="shared" si="122"/>
        <v>0</v>
      </c>
      <c r="N237" s="60">
        <f t="shared" si="122"/>
        <v>0</v>
      </c>
      <c r="O237" s="60">
        <f t="shared" si="122"/>
        <v>0</v>
      </c>
      <c r="P237" s="60">
        <f t="shared" si="122"/>
        <v>0</v>
      </c>
      <c r="Q237" s="60">
        <f t="shared" si="122"/>
        <v>0</v>
      </c>
    </row>
    <row r="238" spans="1:17" ht="28" customHeight="1" x14ac:dyDescent="0.35">
      <c r="A238" s="252"/>
      <c r="B238" s="251"/>
      <c r="C238" s="73"/>
      <c r="D238" s="73"/>
      <c r="E238" s="73"/>
      <c r="F238" s="66" t="s">
        <v>151</v>
      </c>
      <c r="G238" s="67">
        <f t="shared" si="118"/>
        <v>2200000</v>
      </c>
      <c r="H238" s="67">
        <f t="shared" si="110"/>
        <v>2100000</v>
      </c>
      <c r="I238" s="67">
        <f t="shared" si="110"/>
        <v>100000</v>
      </c>
      <c r="J238" s="67">
        <f>K238+L238</f>
        <v>2200000</v>
      </c>
      <c r="K238" s="67">
        <v>2100000</v>
      </c>
      <c r="L238" s="67">
        <v>100000</v>
      </c>
      <c r="M238" s="67">
        <v>0</v>
      </c>
      <c r="N238" s="67">
        <f>O238+P238</f>
        <v>0</v>
      </c>
      <c r="O238" s="67">
        <v>0</v>
      </c>
      <c r="P238" s="67">
        <v>0</v>
      </c>
      <c r="Q238" s="67">
        <v>0</v>
      </c>
    </row>
    <row r="239" spans="1:17" ht="28" customHeight="1" x14ac:dyDescent="0.35">
      <c r="A239" s="252" t="s">
        <v>231</v>
      </c>
      <c r="B239" s="251" t="s">
        <v>232</v>
      </c>
      <c r="C239" s="56">
        <f>C240</f>
        <v>0</v>
      </c>
      <c r="D239" s="57">
        <f>D240</f>
        <v>0</v>
      </c>
      <c r="E239" s="58">
        <f>E240</f>
        <v>0</v>
      </c>
      <c r="F239" s="59" t="s">
        <v>233</v>
      </c>
      <c r="G239" s="58">
        <f t="shared" si="118"/>
        <v>1000000</v>
      </c>
      <c r="H239" s="58">
        <f t="shared" si="110"/>
        <v>1000000</v>
      </c>
      <c r="I239" s="58">
        <f t="shared" si="110"/>
        <v>0</v>
      </c>
      <c r="J239" s="58">
        <f>J240</f>
        <v>1000000</v>
      </c>
      <c r="K239" s="58">
        <f t="shared" ref="K239:Q240" si="123">K240</f>
        <v>1000000</v>
      </c>
      <c r="L239" s="58">
        <f t="shared" si="123"/>
        <v>0</v>
      </c>
      <c r="M239" s="58">
        <f t="shared" si="123"/>
        <v>0</v>
      </c>
      <c r="N239" s="58">
        <f t="shared" si="123"/>
        <v>0</v>
      </c>
      <c r="O239" s="58">
        <f t="shared" si="123"/>
        <v>0</v>
      </c>
      <c r="P239" s="58">
        <f t="shared" si="123"/>
        <v>0</v>
      </c>
      <c r="Q239" s="58">
        <f t="shared" si="123"/>
        <v>0</v>
      </c>
    </row>
    <row r="240" spans="1:17" ht="28" customHeight="1" x14ac:dyDescent="0.35">
      <c r="A240" s="252"/>
      <c r="B240" s="251"/>
      <c r="C240" s="60">
        <v>0</v>
      </c>
      <c r="D240" s="60">
        <v>0</v>
      </c>
      <c r="E240" s="60">
        <v>0</v>
      </c>
      <c r="F240" s="61" t="s">
        <v>150</v>
      </c>
      <c r="G240" s="60">
        <f t="shared" si="118"/>
        <v>1000000</v>
      </c>
      <c r="H240" s="60">
        <f t="shared" si="110"/>
        <v>1000000</v>
      </c>
      <c r="I240" s="60">
        <f t="shared" si="110"/>
        <v>0</v>
      </c>
      <c r="J240" s="60">
        <f>J241</f>
        <v>1000000</v>
      </c>
      <c r="K240" s="60">
        <f t="shared" si="123"/>
        <v>1000000</v>
      </c>
      <c r="L240" s="60">
        <f t="shared" si="123"/>
        <v>0</v>
      </c>
      <c r="M240" s="60">
        <f t="shared" si="123"/>
        <v>0</v>
      </c>
      <c r="N240" s="60">
        <f t="shared" si="123"/>
        <v>0</v>
      </c>
      <c r="O240" s="60">
        <f t="shared" si="123"/>
        <v>0</v>
      </c>
      <c r="P240" s="60">
        <f t="shared" si="123"/>
        <v>0</v>
      </c>
      <c r="Q240" s="60">
        <f t="shared" si="123"/>
        <v>0</v>
      </c>
    </row>
    <row r="241" spans="1:22" ht="28" customHeight="1" x14ac:dyDescent="0.35">
      <c r="A241" s="252"/>
      <c r="B241" s="251"/>
      <c r="C241" s="73"/>
      <c r="D241" s="73"/>
      <c r="E241" s="19"/>
      <c r="F241" s="66" t="s">
        <v>151</v>
      </c>
      <c r="G241" s="67">
        <f t="shared" si="118"/>
        <v>1000000</v>
      </c>
      <c r="H241" s="67">
        <f t="shared" si="110"/>
        <v>1000000</v>
      </c>
      <c r="I241" s="67">
        <f t="shared" si="110"/>
        <v>0</v>
      </c>
      <c r="J241" s="67">
        <f>K241+L241</f>
        <v>1000000</v>
      </c>
      <c r="K241" s="67">
        <v>1000000</v>
      </c>
      <c r="L241" s="67">
        <v>0</v>
      </c>
      <c r="M241" s="67">
        <v>0</v>
      </c>
      <c r="N241" s="67">
        <f>O241+P241</f>
        <v>0</v>
      </c>
      <c r="O241" s="67">
        <v>0</v>
      </c>
      <c r="P241" s="67">
        <v>0</v>
      </c>
      <c r="Q241" s="67">
        <v>0</v>
      </c>
    </row>
    <row r="242" spans="1:22" ht="78" x14ac:dyDescent="0.35">
      <c r="A242" s="87" t="s">
        <v>234</v>
      </c>
      <c r="B242" s="88" t="s">
        <v>235</v>
      </c>
      <c r="C242" s="52">
        <f>C243+C246+C249+C254+C259+C262+C265+C268+C271+C274</f>
        <v>121952264</v>
      </c>
      <c r="D242" s="52">
        <f>D243+D246+D249+D254+D259+D262+D265+D268+D271+D274</f>
        <v>0</v>
      </c>
      <c r="E242" s="53">
        <f>E243+E246+E249+E254+E259+E262+E265+E268+E271+E274</f>
        <v>0</v>
      </c>
      <c r="F242" s="54" t="s">
        <v>236</v>
      </c>
      <c r="G242" s="52">
        <f t="shared" si="118"/>
        <v>613764100</v>
      </c>
      <c r="H242" s="52">
        <f t="shared" ref="H242:I276" si="124">K242+O242</f>
        <v>262483517</v>
      </c>
      <c r="I242" s="52">
        <f t="shared" si="124"/>
        <v>21761997</v>
      </c>
      <c r="J242" s="52">
        <f>J243+J246+J249+J254+J259+J262+J265+J268+J271+J274</f>
        <v>284245514</v>
      </c>
      <c r="K242" s="52">
        <f t="shared" ref="K242:Q242" si="125">K243+K246+K249+K254+K259+K262+K265+K268+K271+K274</f>
        <v>262483517</v>
      </c>
      <c r="L242" s="52">
        <f t="shared" si="125"/>
        <v>21761997</v>
      </c>
      <c r="M242" s="52">
        <f t="shared" si="125"/>
        <v>329518586</v>
      </c>
      <c r="N242" s="52">
        <f t="shared" si="125"/>
        <v>0</v>
      </c>
      <c r="O242" s="52">
        <f t="shared" si="125"/>
        <v>0</v>
      </c>
      <c r="P242" s="52">
        <f t="shared" si="125"/>
        <v>0</v>
      </c>
      <c r="Q242" s="52">
        <f t="shared" si="125"/>
        <v>0</v>
      </c>
    </row>
    <row r="243" spans="1:22" ht="28" customHeight="1" x14ac:dyDescent="0.35">
      <c r="A243" s="252" t="s">
        <v>237</v>
      </c>
      <c r="B243" s="251" t="s">
        <v>238</v>
      </c>
      <c r="C243" s="56">
        <f>C244</f>
        <v>0</v>
      </c>
      <c r="D243" s="57">
        <f>D244</f>
        <v>0</v>
      </c>
      <c r="E243" s="58">
        <f>E244</f>
        <v>0</v>
      </c>
      <c r="F243" s="59" t="s">
        <v>239</v>
      </c>
      <c r="G243" s="58">
        <f t="shared" si="118"/>
        <v>108089250</v>
      </c>
      <c r="H243" s="58">
        <f t="shared" si="124"/>
        <v>77589250</v>
      </c>
      <c r="I243" s="58">
        <f t="shared" si="124"/>
        <v>0</v>
      </c>
      <c r="J243" s="58">
        <f>J244</f>
        <v>77589250</v>
      </c>
      <c r="K243" s="58">
        <f t="shared" ref="K243:Q244" si="126">K244</f>
        <v>77589250</v>
      </c>
      <c r="L243" s="58">
        <f t="shared" si="126"/>
        <v>0</v>
      </c>
      <c r="M243" s="58">
        <f t="shared" si="126"/>
        <v>30500000</v>
      </c>
      <c r="N243" s="58">
        <f t="shared" si="126"/>
        <v>0</v>
      </c>
      <c r="O243" s="58">
        <f t="shared" si="126"/>
        <v>0</v>
      </c>
      <c r="P243" s="58">
        <f t="shared" si="126"/>
        <v>0</v>
      </c>
      <c r="Q243" s="58">
        <f t="shared" si="126"/>
        <v>0</v>
      </c>
    </row>
    <row r="244" spans="1:22" ht="28" customHeight="1" x14ac:dyDescent="0.35">
      <c r="A244" s="252"/>
      <c r="B244" s="251"/>
      <c r="C244" s="60">
        <v>0</v>
      </c>
      <c r="D244" s="60">
        <v>0</v>
      </c>
      <c r="E244" s="60">
        <v>0</v>
      </c>
      <c r="F244" s="61" t="s">
        <v>150</v>
      </c>
      <c r="G244" s="60">
        <f t="shared" si="118"/>
        <v>108089250</v>
      </c>
      <c r="H244" s="60">
        <f t="shared" si="124"/>
        <v>77589250</v>
      </c>
      <c r="I244" s="60">
        <f t="shared" si="124"/>
        <v>0</v>
      </c>
      <c r="J244" s="60">
        <f>J245</f>
        <v>77589250</v>
      </c>
      <c r="K244" s="60">
        <f t="shared" si="126"/>
        <v>77589250</v>
      </c>
      <c r="L244" s="60">
        <f t="shared" si="126"/>
        <v>0</v>
      </c>
      <c r="M244" s="60">
        <f t="shared" si="126"/>
        <v>30500000</v>
      </c>
      <c r="N244" s="60">
        <f t="shared" si="126"/>
        <v>0</v>
      </c>
      <c r="O244" s="60">
        <f t="shared" si="126"/>
        <v>0</v>
      </c>
      <c r="P244" s="60">
        <f t="shared" si="126"/>
        <v>0</v>
      </c>
      <c r="Q244" s="60">
        <f t="shared" si="126"/>
        <v>0</v>
      </c>
    </row>
    <row r="245" spans="1:22" ht="28" customHeight="1" x14ac:dyDescent="0.35">
      <c r="A245" s="252"/>
      <c r="B245" s="251"/>
      <c r="C245" s="90"/>
      <c r="D245" s="73"/>
      <c r="E245" s="19"/>
      <c r="F245" s="66" t="s">
        <v>151</v>
      </c>
      <c r="G245" s="67">
        <f t="shared" si="118"/>
        <v>108089250</v>
      </c>
      <c r="H245" s="67">
        <f t="shared" si="124"/>
        <v>77589250</v>
      </c>
      <c r="I245" s="67">
        <f t="shared" si="124"/>
        <v>0</v>
      </c>
      <c r="J245" s="67">
        <f>K245+L245</f>
        <v>77589250</v>
      </c>
      <c r="K245" s="67">
        <f>137289250-43200000-16500000</f>
        <v>77589250</v>
      </c>
      <c r="L245" s="67">
        <v>0</v>
      </c>
      <c r="M245" s="68">
        <f>110800000-96800000+16500000</f>
        <v>30500000</v>
      </c>
      <c r="N245" s="68">
        <f>O245+P245</f>
        <v>0</v>
      </c>
      <c r="O245" s="68">
        <v>0</v>
      </c>
      <c r="P245" s="68">
        <v>0</v>
      </c>
      <c r="Q245" s="68">
        <v>0</v>
      </c>
    </row>
    <row r="246" spans="1:22" ht="28" customHeight="1" x14ac:dyDescent="0.35">
      <c r="A246" s="252" t="s">
        <v>240</v>
      </c>
      <c r="B246" s="251" t="s">
        <v>241</v>
      </c>
      <c r="C246" s="56">
        <f>C247</f>
        <v>0</v>
      </c>
      <c r="D246" s="57">
        <f>D247</f>
        <v>0</v>
      </c>
      <c r="E246" s="58">
        <f>E247</f>
        <v>0</v>
      </c>
      <c r="F246" s="59" t="s">
        <v>242</v>
      </c>
      <c r="G246" s="58">
        <f t="shared" si="118"/>
        <v>20100000</v>
      </c>
      <c r="H246" s="58">
        <f t="shared" si="124"/>
        <v>0</v>
      </c>
      <c r="I246" s="58">
        <f t="shared" si="124"/>
        <v>0</v>
      </c>
      <c r="J246" s="58">
        <f>J247</f>
        <v>0</v>
      </c>
      <c r="K246" s="58">
        <f t="shared" ref="K246:Q247" si="127">K247</f>
        <v>0</v>
      </c>
      <c r="L246" s="58">
        <f t="shared" si="127"/>
        <v>0</v>
      </c>
      <c r="M246" s="58">
        <f t="shared" si="127"/>
        <v>20100000</v>
      </c>
      <c r="N246" s="58">
        <f t="shared" si="127"/>
        <v>0</v>
      </c>
      <c r="O246" s="58">
        <f t="shared" si="127"/>
        <v>0</v>
      </c>
      <c r="P246" s="58">
        <f t="shared" si="127"/>
        <v>0</v>
      </c>
      <c r="Q246" s="58">
        <f t="shared" si="127"/>
        <v>0</v>
      </c>
    </row>
    <row r="247" spans="1:22" ht="28" customHeight="1" x14ac:dyDescent="0.35">
      <c r="A247" s="252"/>
      <c r="B247" s="251"/>
      <c r="C247" s="60">
        <v>0</v>
      </c>
      <c r="D247" s="60">
        <v>0</v>
      </c>
      <c r="E247" s="60">
        <v>0</v>
      </c>
      <c r="F247" s="61" t="s">
        <v>150</v>
      </c>
      <c r="G247" s="60">
        <f t="shared" si="118"/>
        <v>20100000</v>
      </c>
      <c r="H247" s="60">
        <f t="shared" si="124"/>
        <v>0</v>
      </c>
      <c r="I247" s="60">
        <f t="shared" si="124"/>
        <v>0</v>
      </c>
      <c r="J247" s="60">
        <f>J248</f>
        <v>0</v>
      </c>
      <c r="K247" s="60">
        <f t="shared" si="127"/>
        <v>0</v>
      </c>
      <c r="L247" s="60">
        <f t="shared" si="127"/>
        <v>0</v>
      </c>
      <c r="M247" s="60">
        <f t="shared" si="127"/>
        <v>20100000</v>
      </c>
      <c r="N247" s="60">
        <f t="shared" si="127"/>
        <v>0</v>
      </c>
      <c r="O247" s="60">
        <f t="shared" si="127"/>
        <v>0</v>
      </c>
      <c r="P247" s="60">
        <f t="shared" si="127"/>
        <v>0</v>
      </c>
      <c r="Q247" s="60">
        <f t="shared" si="127"/>
        <v>0</v>
      </c>
    </row>
    <row r="248" spans="1:22" ht="28" customHeight="1" x14ac:dyDescent="0.35">
      <c r="A248" s="252"/>
      <c r="B248" s="251"/>
      <c r="C248" s="90"/>
      <c r="D248" s="73"/>
      <c r="E248" s="19"/>
      <c r="F248" s="66" t="s">
        <v>151</v>
      </c>
      <c r="G248" s="67">
        <f t="shared" si="118"/>
        <v>20100000</v>
      </c>
      <c r="H248" s="67">
        <f t="shared" si="124"/>
        <v>0</v>
      </c>
      <c r="I248" s="67">
        <f t="shared" si="124"/>
        <v>0</v>
      </c>
      <c r="J248" s="67">
        <f>K248+L248</f>
        <v>0</v>
      </c>
      <c r="K248" s="67">
        <v>0</v>
      </c>
      <c r="L248" s="67">
        <v>0</v>
      </c>
      <c r="M248" s="68">
        <v>20100000</v>
      </c>
      <c r="N248" s="68">
        <f>O248+P248</f>
        <v>0</v>
      </c>
      <c r="O248" s="68">
        <v>0</v>
      </c>
      <c r="P248" s="68">
        <v>0</v>
      </c>
      <c r="Q248" s="68">
        <v>0</v>
      </c>
    </row>
    <row r="249" spans="1:22" ht="28" customHeight="1" x14ac:dyDescent="0.35">
      <c r="A249" s="252" t="s">
        <v>243</v>
      </c>
      <c r="B249" s="251" t="s">
        <v>244</v>
      </c>
      <c r="C249" s="56">
        <f>C250</f>
        <v>4219140</v>
      </c>
      <c r="D249" s="57">
        <f>D250</f>
        <v>0</v>
      </c>
      <c r="E249" s="58">
        <f>E250</f>
        <v>0</v>
      </c>
      <c r="F249" s="59" t="s">
        <v>245</v>
      </c>
      <c r="G249" s="58">
        <f t="shared" si="118"/>
        <v>11723140</v>
      </c>
      <c r="H249" s="58">
        <f t="shared" si="124"/>
        <v>9723140</v>
      </c>
      <c r="I249" s="58">
        <f t="shared" si="124"/>
        <v>2000000</v>
      </c>
      <c r="J249" s="58">
        <f>J250</f>
        <v>11723140</v>
      </c>
      <c r="K249" s="58">
        <f t="shared" ref="K249:Q249" si="128">K250</f>
        <v>9723140</v>
      </c>
      <c r="L249" s="58">
        <f t="shared" si="128"/>
        <v>2000000</v>
      </c>
      <c r="M249" s="58">
        <f t="shared" si="128"/>
        <v>0</v>
      </c>
      <c r="N249" s="58">
        <f t="shared" si="128"/>
        <v>0</v>
      </c>
      <c r="O249" s="58">
        <f t="shared" si="128"/>
        <v>0</v>
      </c>
      <c r="P249" s="58">
        <f t="shared" si="128"/>
        <v>0</v>
      </c>
      <c r="Q249" s="58">
        <f t="shared" si="128"/>
        <v>0</v>
      </c>
    </row>
    <row r="250" spans="1:22" ht="28" customHeight="1" x14ac:dyDescent="0.35">
      <c r="A250" s="252"/>
      <c r="B250" s="251"/>
      <c r="C250" s="69">
        <f>G252+G253</f>
        <v>4219140</v>
      </c>
      <c r="D250" s="60">
        <v>0</v>
      </c>
      <c r="E250" s="60">
        <v>0</v>
      </c>
      <c r="F250" s="61" t="s">
        <v>150</v>
      </c>
      <c r="G250" s="60">
        <f t="shared" si="118"/>
        <v>11723140</v>
      </c>
      <c r="H250" s="60">
        <f t="shared" si="124"/>
        <v>9723140</v>
      </c>
      <c r="I250" s="60">
        <f t="shared" si="124"/>
        <v>2000000</v>
      </c>
      <c r="J250" s="60">
        <f>J251+J252+J253</f>
        <v>11723140</v>
      </c>
      <c r="K250" s="60">
        <f t="shared" ref="K250:Q250" si="129">K251+K252+K253</f>
        <v>9723140</v>
      </c>
      <c r="L250" s="60">
        <f t="shared" si="129"/>
        <v>2000000</v>
      </c>
      <c r="M250" s="60">
        <f t="shared" si="129"/>
        <v>0</v>
      </c>
      <c r="N250" s="60">
        <f t="shared" si="129"/>
        <v>0</v>
      </c>
      <c r="O250" s="60">
        <f t="shared" si="129"/>
        <v>0</v>
      </c>
      <c r="P250" s="60">
        <f t="shared" si="129"/>
        <v>0</v>
      </c>
      <c r="Q250" s="60">
        <f t="shared" si="129"/>
        <v>0</v>
      </c>
    </row>
    <row r="251" spans="1:22" ht="28" customHeight="1" x14ac:dyDescent="0.35">
      <c r="A251" s="252"/>
      <c r="B251" s="251"/>
      <c r="C251" s="78"/>
      <c r="D251" s="105"/>
      <c r="E251" s="106"/>
      <c r="F251" s="66" t="s">
        <v>151</v>
      </c>
      <c r="G251" s="67">
        <f t="shared" si="118"/>
        <v>7504000</v>
      </c>
      <c r="H251" s="67">
        <f t="shared" si="124"/>
        <v>5504000</v>
      </c>
      <c r="I251" s="67">
        <f t="shared" si="124"/>
        <v>2000000</v>
      </c>
      <c r="J251" s="67">
        <f>K251+L251</f>
        <v>7504000</v>
      </c>
      <c r="K251" s="67">
        <v>5504000</v>
      </c>
      <c r="L251" s="67">
        <v>2000000</v>
      </c>
      <c r="M251" s="68">
        <v>0</v>
      </c>
      <c r="N251" s="68">
        <f>O251+P251</f>
        <v>0</v>
      </c>
      <c r="O251" s="68">
        <v>0</v>
      </c>
      <c r="P251" s="68">
        <v>0</v>
      </c>
      <c r="Q251" s="68">
        <v>0</v>
      </c>
    </row>
    <row r="252" spans="1:22" ht="28" customHeight="1" x14ac:dyDescent="0.35">
      <c r="A252" s="252"/>
      <c r="B252" s="251"/>
      <c r="C252" s="78"/>
      <c r="D252" s="105"/>
      <c r="E252" s="106"/>
      <c r="F252" s="66" t="s">
        <v>152</v>
      </c>
      <c r="G252" s="71">
        <f t="shared" si="118"/>
        <v>1826575</v>
      </c>
      <c r="H252" s="71">
        <f t="shared" si="124"/>
        <v>1826575</v>
      </c>
      <c r="I252" s="71">
        <f t="shared" si="124"/>
        <v>0</v>
      </c>
      <c r="J252" s="71">
        <f>K252+L252</f>
        <v>1826575</v>
      </c>
      <c r="K252" s="71">
        <f>3256000-318800-1110625</f>
        <v>1826575</v>
      </c>
      <c r="L252" s="71">
        <v>0</v>
      </c>
      <c r="M252" s="71">
        <v>0</v>
      </c>
      <c r="N252" s="68">
        <f>O252+P252</f>
        <v>0</v>
      </c>
      <c r="O252" s="68">
        <v>0</v>
      </c>
      <c r="P252" s="68">
        <v>0</v>
      </c>
      <c r="Q252" s="68">
        <v>0</v>
      </c>
    </row>
    <row r="253" spans="1:22" ht="28" customHeight="1" x14ac:dyDescent="0.35">
      <c r="A253" s="252"/>
      <c r="B253" s="251"/>
      <c r="C253" s="78"/>
      <c r="D253" s="105"/>
      <c r="E253" s="106"/>
      <c r="F253" s="66" t="s">
        <v>153</v>
      </c>
      <c r="G253" s="71">
        <f t="shared" si="118"/>
        <v>2392565</v>
      </c>
      <c r="H253" s="71">
        <f t="shared" si="124"/>
        <v>2392565</v>
      </c>
      <c r="I253" s="71">
        <f t="shared" si="124"/>
        <v>0</v>
      </c>
      <c r="J253" s="71">
        <f>K253+L253</f>
        <v>2392565</v>
      </c>
      <c r="K253" s="71">
        <f>8000000-5607435</f>
        <v>2392565</v>
      </c>
      <c r="L253" s="71">
        <v>0</v>
      </c>
      <c r="M253" s="71">
        <v>0</v>
      </c>
      <c r="N253" s="68">
        <f>O253+P253</f>
        <v>0</v>
      </c>
      <c r="O253" s="68">
        <v>0</v>
      </c>
      <c r="P253" s="68">
        <v>0</v>
      </c>
      <c r="Q253" s="68">
        <v>0</v>
      </c>
    </row>
    <row r="254" spans="1:22" ht="28" customHeight="1" x14ac:dyDescent="0.35">
      <c r="A254" s="263" t="s">
        <v>246</v>
      </c>
      <c r="B254" s="265" t="s">
        <v>247</v>
      </c>
      <c r="C254" s="56">
        <f>C255</f>
        <v>117733124</v>
      </c>
      <c r="D254" s="57">
        <f>D255</f>
        <v>0</v>
      </c>
      <c r="E254" s="58">
        <f>E255</f>
        <v>0</v>
      </c>
      <c r="F254" s="59" t="s">
        <v>248</v>
      </c>
      <c r="G254" s="58">
        <f t="shared" si="118"/>
        <v>117733124</v>
      </c>
      <c r="H254" s="58">
        <f t="shared" si="124"/>
        <v>102971127</v>
      </c>
      <c r="I254" s="58">
        <f t="shared" si="124"/>
        <v>14761997</v>
      </c>
      <c r="J254" s="58">
        <f>J255</f>
        <v>117733124</v>
      </c>
      <c r="K254" s="58">
        <f t="shared" ref="K254:Q254" si="130">K255</f>
        <v>102971127</v>
      </c>
      <c r="L254" s="58">
        <f t="shared" si="130"/>
        <v>14761997</v>
      </c>
      <c r="M254" s="58">
        <f t="shared" si="130"/>
        <v>0</v>
      </c>
      <c r="N254" s="58">
        <f t="shared" si="130"/>
        <v>0</v>
      </c>
      <c r="O254" s="58">
        <f t="shared" si="130"/>
        <v>0</v>
      </c>
      <c r="P254" s="58">
        <f t="shared" si="130"/>
        <v>0</v>
      </c>
      <c r="Q254" s="58">
        <f t="shared" si="130"/>
        <v>0</v>
      </c>
      <c r="R254" s="89"/>
      <c r="S254" s="89"/>
      <c r="T254" s="89"/>
      <c r="U254" s="89"/>
      <c r="V254" s="89"/>
    </row>
    <row r="255" spans="1:22" ht="28" customHeight="1" x14ac:dyDescent="0.35">
      <c r="A255" s="252"/>
      <c r="B255" s="265"/>
      <c r="C255" s="69">
        <f>G257+G258</f>
        <v>117733124</v>
      </c>
      <c r="D255" s="60">
        <v>0</v>
      </c>
      <c r="E255" s="60">
        <v>0</v>
      </c>
      <c r="F255" s="61" t="s">
        <v>36</v>
      </c>
      <c r="G255" s="60">
        <f t="shared" si="118"/>
        <v>117733124</v>
      </c>
      <c r="H255" s="60">
        <f t="shared" si="124"/>
        <v>102971127</v>
      </c>
      <c r="I255" s="60">
        <f t="shared" si="124"/>
        <v>14761997</v>
      </c>
      <c r="J255" s="60">
        <f>J256+J257+J258</f>
        <v>117733124</v>
      </c>
      <c r="K255" s="60">
        <f t="shared" ref="K255:Q255" si="131">K256+K257+K258</f>
        <v>102971127</v>
      </c>
      <c r="L255" s="60">
        <f t="shared" si="131"/>
        <v>14761997</v>
      </c>
      <c r="M255" s="60">
        <f t="shared" si="131"/>
        <v>0</v>
      </c>
      <c r="N255" s="60">
        <f t="shared" si="131"/>
        <v>0</v>
      </c>
      <c r="O255" s="60">
        <f t="shared" si="131"/>
        <v>0</v>
      </c>
      <c r="P255" s="60">
        <f t="shared" si="131"/>
        <v>0</v>
      </c>
      <c r="Q255" s="60">
        <f t="shared" si="131"/>
        <v>0</v>
      </c>
      <c r="R255" s="89"/>
      <c r="S255" s="89"/>
      <c r="T255" s="89"/>
      <c r="U255" s="89"/>
      <c r="V255" s="89"/>
    </row>
    <row r="256" spans="1:22" ht="28" customHeight="1" x14ac:dyDescent="0.35">
      <c r="A256" s="252"/>
      <c r="B256" s="265"/>
      <c r="C256" s="78"/>
      <c r="D256" s="73"/>
      <c r="E256" s="19"/>
      <c r="F256" s="66" t="s">
        <v>37</v>
      </c>
      <c r="G256" s="67">
        <f t="shared" si="118"/>
        <v>0</v>
      </c>
      <c r="H256" s="67">
        <f t="shared" si="124"/>
        <v>0</v>
      </c>
      <c r="I256" s="67">
        <f t="shared" si="124"/>
        <v>0</v>
      </c>
      <c r="J256" s="67">
        <f>K256+L256</f>
        <v>0</v>
      </c>
      <c r="K256" s="67">
        <v>0</v>
      </c>
      <c r="L256" s="67">
        <v>0</v>
      </c>
      <c r="M256" s="68">
        <v>0</v>
      </c>
      <c r="N256" s="68">
        <f>O256+P256</f>
        <v>0</v>
      </c>
      <c r="O256" s="68">
        <v>0</v>
      </c>
      <c r="P256" s="68">
        <v>0</v>
      </c>
      <c r="Q256" s="68">
        <v>0</v>
      </c>
      <c r="R256" s="89"/>
      <c r="S256" s="89"/>
      <c r="T256" s="89"/>
      <c r="U256" s="89"/>
      <c r="V256" s="89"/>
    </row>
    <row r="257" spans="1:22" ht="28" customHeight="1" x14ac:dyDescent="0.35">
      <c r="A257" s="252"/>
      <c r="B257" s="265"/>
      <c r="C257" s="78"/>
      <c r="D257" s="73"/>
      <c r="E257" s="107"/>
      <c r="F257" s="66" t="s">
        <v>38</v>
      </c>
      <c r="G257" s="71">
        <f t="shared" si="118"/>
        <v>29121231</v>
      </c>
      <c r="H257" s="71">
        <f t="shared" si="124"/>
        <v>19666025</v>
      </c>
      <c r="I257" s="71">
        <f t="shared" si="124"/>
        <v>9455206</v>
      </c>
      <c r="J257" s="71">
        <f>K257+L257</f>
        <v>29121231</v>
      </c>
      <c r="K257" s="71">
        <f>10234400+9256000-935000+1110625</f>
        <v>19666025</v>
      </c>
      <c r="L257" s="71">
        <f>3500000+5955206</f>
        <v>9455206</v>
      </c>
      <c r="M257" s="71">
        <v>0</v>
      </c>
      <c r="N257" s="68">
        <f>O257+P257</f>
        <v>0</v>
      </c>
      <c r="O257" s="68">
        <v>0</v>
      </c>
      <c r="P257" s="68">
        <v>0</v>
      </c>
      <c r="Q257" s="68">
        <v>0</v>
      </c>
      <c r="R257" s="89"/>
      <c r="S257" s="89"/>
      <c r="T257" s="89"/>
      <c r="U257" s="89"/>
      <c r="V257" s="89"/>
    </row>
    <row r="258" spans="1:22" ht="28" customHeight="1" x14ac:dyDescent="0.35">
      <c r="A258" s="252"/>
      <c r="B258" s="265"/>
      <c r="C258" s="78"/>
      <c r="D258" s="73"/>
      <c r="E258" s="19"/>
      <c r="F258" s="66" t="s">
        <v>39</v>
      </c>
      <c r="G258" s="71">
        <f t="shared" si="118"/>
        <v>88611893</v>
      </c>
      <c r="H258" s="71">
        <f t="shared" si="124"/>
        <v>83305102</v>
      </c>
      <c r="I258" s="71">
        <f t="shared" si="124"/>
        <v>5306791</v>
      </c>
      <c r="J258" s="71">
        <f>K258+L258</f>
        <v>88611893</v>
      </c>
      <c r="K258" s="71">
        <f>51748710+935000+544914+261559+824098+395567+718452+344857+27531945</f>
        <v>83305102</v>
      </c>
      <c r="L258" s="71">
        <f>3500000+1806791</f>
        <v>5306791</v>
      </c>
      <c r="M258" s="71">
        <v>0</v>
      </c>
      <c r="N258" s="68">
        <f>O258+P258</f>
        <v>0</v>
      </c>
      <c r="O258" s="68">
        <v>0</v>
      </c>
      <c r="P258" s="68">
        <v>0</v>
      </c>
      <c r="Q258" s="68">
        <v>0</v>
      </c>
      <c r="R258" s="89"/>
      <c r="S258" s="89"/>
      <c r="T258" s="89"/>
      <c r="U258" s="89"/>
      <c r="V258" s="89"/>
    </row>
    <row r="259" spans="1:22" ht="28" customHeight="1" x14ac:dyDescent="0.35">
      <c r="A259" s="263" t="s">
        <v>249</v>
      </c>
      <c r="B259" s="251" t="s">
        <v>250</v>
      </c>
      <c r="C259" s="56">
        <f>C260</f>
        <v>0</v>
      </c>
      <c r="D259" s="57">
        <f>D260</f>
        <v>0</v>
      </c>
      <c r="E259" s="58">
        <f>E260</f>
        <v>0</v>
      </c>
      <c r="F259" s="59" t="s">
        <v>251</v>
      </c>
      <c r="G259" s="58">
        <f t="shared" si="118"/>
        <v>13400000</v>
      </c>
      <c r="H259" s="58">
        <f t="shared" si="124"/>
        <v>8100000</v>
      </c>
      <c r="I259" s="58">
        <f t="shared" si="124"/>
        <v>0</v>
      </c>
      <c r="J259" s="58">
        <f>J260</f>
        <v>8100000</v>
      </c>
      <c r="K259" s="58">
        <f t="shared" ref="K259:Q260" si="132">K260</f>
        <v>8100000</v>
      </c>
      <c r="L259" s="58">
        <f t="shared" si="132"/>
        <v>0</v>
      </c>
      <c r="M259" s="58">
        <f t="shared" si="132"/>
        <v>5300000</v>
      </c>
      <c r="N259" s="58">
        <f t="shared" si="132"/>
        <v>0</v>
      </c>
      <c r="O259" s="58">
        <f t="shared" si="132"/>
        <v>0</v>
      </c>
      <c r="P259" s="58">
        <f t="shared" si="132"/>
        <v>0</v>
      </c>
      <c r="Q259" s="58">
        <f t="shared" si="132"/>
        <v>0</v>
      </c>
    </row>
    <row r="260" spans="1:22" ht="28" customHeight="1" x14ac:dyDescent="0.35">
      <c r="A260" s="252"/>
      <c r="B260" s="251"/>
      <c r="C260" s="60">
        <v>0</v>
      </c>
      <c r="D260" s="60">
        <v>0</v>
      </c>
      <c r="E260" s="60">
        <v>0</v>
      </c>
      <c r="F260" s="61" t="s">
        <v>150</v>
      </c>
      <c r="G260" s="60">
        <f t="shared" si="118"/>
        <v>13400000</v>
      </c>
      <c r="H260" s="60">
        <f t="shared" si="124"/>
        <v>8100000</v>
      </c>
      <c r="I260" s="60">
        <f t="shared" si="124"/>
        <v>0</v>
      </c>
      <c r="J260" s="60">
        <f>J261</f>
        <v>8100000</v>
      </c>
      <c r="K260" s="60">
        <f t="shared" si="132"/>
        <v>8100000</v>
      </c>
      <c r="L260" s="60">
        <f t="shared" si="132"/>
        <v>0</v>
      </c>
      <c r="M260" s="60">
        <f t="shared" si="132"/>
        <v>5300000</v>
      </c>
      <c r="N260" s="60">
        <f t="shared" si="132"/>
        <v>0</v>
      </c>
      <c r="O260" s="60">
        <f t="shared" si="132"/>
        <v>0</v>
      </c>
      <c r="P260" s="60">
        <f t="shared" si="132"/>
        <v>0</v>
      </c>
      <c r="Q260" s="60">
        <f t="shared" si="132"/>
        <v>0</v>
      </c>
    </row>
    <row r="261" spans="1:22" ht="28" customHeight="1" x14ac:dyDescent="0.35">
      <c r="A261" s="252"/>
      <c r="B261" s="251"/>
      <c r="C261" s="90"/>
      <c r="D261" s="105"/>
      <c r="E261" s="19"/>
      <c r="F261" s="66" t="s">
        <v>151</v>
      </c>
      <c r="G261" s="67">
        <f t="shared" si="118"/>
        <v>13400000</v>
      </c>
      <c r="H261" s="67">
        <f t="shared" si="124"/>
        <v>8100000</v>
      </c>
      <c r="I261" s="67">
        <f t="shared" si="124"/>
        <v>0</v>
      </c>
      <c r="J261" s="67">
        <f>K261+L261</f>
        <v>8100000</v>
      </c>
      <c r="K261" s="67">
        <v>8100000</v>
      </c>
      <c r="L261" s="67">
        <v>0</v>
      </c>
      <c r="M261" s="68">
        <v>5300000</v>
      </c>
      <c r="N261" s="68">
        <f>O261+P261</f>
        <v>0</v>
      </c>
      <c r="O261" s="68">
        <v>0</v>
      </c>
      <c r="P261" s="68">
        <v>0</v>
      </c>
      <c r="Q261" s="68">
        <v>0</v>
      </c>
    </row>
    <row r="262" spans="1:22" ht="28" customHeight="1" x14ac:dyDescent="0.35">
      <c r="A262" s="263" t="s">
        <v>252</v>
      </c>
      <c r="B262" s="215" t="s">
        <v>253</v>
      </c>
      <c r="C262" s="56">
        <f>C263</f>
        <v>0</v>
      </c>
      <c r="D262" s="57">
        <f>D263</f>
        <v>0</v>
      </c>
      <c r="E262" s="58">
        <f>E263</f>
        <v>0</v>
      </c>
      <c r="F262" s="59" t="s">
        <v>254</v>
      </c>
      <c r="G262" s="58">
        <f t="shared" si="118"/>
        <v>10100000</v>
      </c>
      <c r="H262" s="58">
        <f t="shared" si="124"/>
        <v>0</v>
      </c>
      <c r="I262" s="58">
        <f t="shared" si="124"/>
        <v>0</v>
      </c>
      <c r="J262" s="58">
        <f>J263</f>
        <v>0</v>
      </c>
      <c r="K262" s="58">
        <f t="shared" ref="K262:Q263" si="133">K263</f>
        <v>0</v>
      </c>
      <c r="L262" s="58">
        <f t="shared" si="133"/>
        <v>0</v>
      </c>
      <c r="M262" s="58">
        <f t="shared" si="133"/>
        <v>10100000</v>
      </c>
      <c r="N262" s="58">
        <f t="shared" si="133"/>
        <v>0</v>
      </c>
      <c r="O262" s="58">
        <f t="shared" si="133"/>
        <v>0</v>
      </c>
      <c r="P262" s="58">
        <f t="shared" si="133"/>
        <v>0</v>
      </c>
      <c r="Q262" s="58">
        <f t="shared" si="133"/>
        <v>0</v>
      </c>
    </row>
    <row r="263" spans="1:22" ht="28" customHeight="1" x14ac:dyDescent="0.35">
      <c r="A263" s="252"/>
      <c r="B263" s="215"/>
      <c r="C263" s="60">
        <v>0</v>
      </c>
      <c r="D263" s="60">
        <v>0</v>
      </c>
      <c r="E263" s="60">
        <v>0</v>
      </c>
      <c r="F263" s="61" t="s">
        <v>150</v>
      </c>
      <c r="G263" s="60">
        <f t="shared" si="118"/>
        <v>10100000</v>
      </c>
      <c r="H263" s="60">
        <f t="shared" si="124"/>
        <v>0</v>
      </c>
      <c r="I263" s="60">
        <f t="shared" si="124"/>
        <v>0</v>
      </c>
      <c r="J263" s="60">
        <f>J264</f>
        <v>0</v>
      </c>
      <c r="K263" s="60">
        <f t="shared" si="133"/>
        <v>0</v>
      </c>
      <c r="L263" s="60">
        <f t="shared" si="133"/>
        <v>0</v>
      </c>
      <c r="M263" s="60">
        <f t="shared" si="133"/>
        <v>10100000</v>
      </c>
      <c r="N263" s="60">
        <f t="shared" si="133"/>
        <v>0</v>
      </c>
      <c r="O263" s="60">
        <f t="shared" si="133"/>
        <v>0</v>
      </c>
      <c r="P263" s="60">
        <f t="shared" si="133"/>
        <v>0</v>
      </c>
      <c r="Q263" s="60">
        <f t="shared" si="133"/>
        <v>0</v>
      </c>
    </row>
    <row r="264" spans="1:22" ht="28" customHeight="1" x14ac:dyDescent="0.35">
      <c r="A264" s="252"/>
      <c r="B264" s="215"/>
      <c r="C264" s="90"/>
      <c r="D264" s="73"/>
      <c r="E264" s="19"/>
      <c r="F264" s="66" t="s">
        <v>151</v>
      </c>
      <c r="G264" s="67">
        <f t="shared" si="118"/>
        <v>10100000</v>
      </c>
      <c r="H264" s="67">
        <f t="shared" si="124"/>
        <v>0</v>
      </c>
      <c r="I264" s="67">
        <f t="shared" si="124"/>
        <v>0</v>
      </c>
      <c r="J264" s="67">
        <f>K264+L264</f>
        <v>0</v>
      </c>
      <c r="K264" s="67">
        <v>0</v>
      </c>
      <c r="L264" s="67">
        <v>0</v>
      </c>
      <c r="M264" s="68">
        <v>10100000</v>
      </c>
      <c r="N264" s="68">
        <f>O264+P264</f>
        <v>0</v>
      </c>
      <c r="O264" s="68">
        <v>0</v>
      </c>
      <c r="P264" s="68">
        <v>0</v>
      </c>
      <c r="Q264" s="68">
        <v>0</v>
      </c>
    </row>
    <row r="265" spans="1:22" ht="28" customHeight="1" x14ac:dyDescent="0.35">
      <c r="A265" s="264" t="s">
        <v>255</v>
      </c>
      <c r="B265" s="251" t="s">
        <v>256</v>
      </c>
      <c r="C265" s="56">
        <f>C266</f>
        <v>0</v>
      </c>
      <c r="D265" s="57">
        <f>D266</f>
        <v>0</v>
      </c>
      <c r="E265" s="58">
        <f>E266</f>
        <v>0</v>
      </c>
      <c r="F265" s="59" t="s">
        <v>257</v>
      </c>
      <c r="G265" s="58">
        <f t="shared" si="118"/>
        <v>239118586</v>
      </c>
      <c r="H265" s="58">
        <f t="shared" si="124"/>
        <v>0</v>
      </c>
      <c r="I265" s="58">
        <f t="shared" si="124"/>
        <v>0</v>
      </c>
      <c r="J265" s="58">
        <f>J266</f>
        <v>0</v>
      </c>
      <c r="K265" s="58">
        <f t="shared" ref="K265:Q266" si="134">K266</f>
        <v>0</v>
      </c>
      <c r="L265" s="58">
        <f t="shared" si="134"/>
        <v>0</v>
      </c>
      <c r="M265" s="58">
        <f t="shared" si="134"/>
        <v>239118586</v>
      </c>
      <c r="N265" s="58">
        <f t="shared" si="134"/>
        <v>0</v>
      </c>
      <c r="O265" s="58">
        <f t="shared" si="134"/>
        <v>0</v>
      </c>
      <c r="P265" s="58">
        <f t="shared" si="134"/>
        <v>0</v>
      </c>
      <c r="Q265" s="58">
        <f t="shared" si="134"/>
        <v>0</v>
      </c>
    </row>
    <row r="266" spans="1:22" ht="28" customHeight="1" x14ac:dyDescent="0.35">
      <c r="A266" s="250"/>
      <c r="B266" s="251"/>
      <c r="C266" s="60">
        <v>0</v>
      </c>
      <c r="D266" s="60">
        <v>0</v>
      </c>
      <c r="E266" s="60">
        <v>0</v>
      </c>
      <c r="F266" s="61" t="s">
        <v>150</v>
      </c>
      <c r="G266" s="60">
        <f t="shared" si="118"/>
        <v>239118586</v>
      </c>
      <c r="H266" s="60">
        <f t="shared" si="124"/>
        <v>0</v>
      </c>
      <c r="I266" s="60">
        <f t="shared" si="124"/>
        <v>0</v>
      </c>
      <c r="J266" s="60">
        <f>J267</f>
        <v>0</v>
      </c>
      <c r="K266" s="60">
        <f t="shared" si="134"/>
        <v>0</v>
      </c>
      <c r="L266" s="60">
        <f t="shared" si="134"/>
        <v>0</v>
      </c>
      <c r="M266" s="60">
        <f t="shared" si="134"/>
        <v>239118586</v>
      </c>
      <c r="N266" s="60">
        <f t="shared" si="134"/>
        <v>0</v>
      </c>
      <c r="O266" s="60">
        <f t="shared" si="134"/>
        <v>0</v>
      </c>
      <c r="P266" s="60">
        <f t="shared" si="134"/>
        <v>0</v>
      </c>
      <c r="Q266" s="60">
        <f t="shared" si="134"/>
        <v>0</v>
      </c>
    </row>
    <row r="267" spans="1:22" ht="28" customHeight="1" x14ac:dyDescent="0.35">
      <c r="A267" s="250"/>
      <c r="B267" s="251"/>
      <c r="C267" s="90"/>
      <c r="D267" s="73"/>
      <c r="E267" s="19"/>
      <c r="F267" s="66" t="s">
        <v>151</v>
      </c>
      <c r="G267" s="67">
        <f t="shared" si="118"/>
        <v>239118586</v>
      </c>
      <c r="H267" s="67">
        <f t="shared" si="124"/>
        <v>0</v>
      </c>
      <c r="I267" s="67">
        <f t="shared" si="124"/>
        <v>0</v>
      </c>
      <c r="J267" s="67">
        <f>K267+L267</f>
        <v>0</v>
      </c>
      <c r="K267" s="67">
        <v>0</v>
      </c>
      <c r="L267" s="67">
        <v>0</v>
      </c>
      <c r="M267" s="68">
        <v>239118586</v>
      </c>
      <c r="N267" s="68">
        <f>O267+P267</f>
        <v>0</v>
      </c>
      <c r="O267" s="68">
        <v>0</v>
      </c>
      <c r="P267" s="68">
        <v>0</v>
      </c>
      <c r="Q267" s="68">
        <v>0</v>
      </c>
    </row>
    <row r="268" spans="1:22" ht="28" customHeight="1" x14ac:dyDescent="0.35">
      <c r="A268" s="263" t="s">
        <v>258</v>
      </c>
      <c r="B268" s="251" t="s">
        <v>259</v>
      </c>
      <c r="C268" s="56">
        <f>C269</f>
        <v>0</v>
      </c>
      <c r="D268" s="57">
        <f>D269</f>
        <v>0</v>
      </c>
      <c r="E268" s="58">
        <f>E269</f>
        <v>0</v>
      </c>
      <c r="F268" s="59" t="s">
        <v>260</v>
      </c>
      <c r="G268" s="58">
        <f t="shared" si="118"/>
        <v>42800000</v>
      </c>
      <c r="H268" s="58">
        <f t="shared" si="124"/>
        <v>37700000</v>
      </c>
      <c r="I268" s="58">
        <f t="shared" si="124"/>
        <v>0</v>
      </c>
      <c r="J268" s="58">
        <f>J269</f>
        <v>37700000</v>
      </c>
      <c r="K268" s="58">
        <f t="shared" ref="K268:Q269" si="135">K269</f>
        <v>37700000</v>
      </c>
      <c r="L268" s="58">
        <f t="shared" si="135"/>
        <v>0</v>
      </c>
      <c r="M268" s="58">
        <f t="shared" si="135"/>
        <v>5100000</v>
      </c>
      <c r="N268" s="58">
        <f t="shared" si="135"/>
        <v>0</v>
      </c>
      <c r="O268" s="58">
        <f t="shared" si="135"/>
        <v>0</v>
      </c>
      <c r="P268" s="58">
        <f t="shared" si="135"/>
        <v>0</v>
      </c>
      <c r="Q268" s="58">
        <f t="shared" si="135"/>
        <v>0</v>
      </c>
    </row>
    <row r="269" spans="1:22" ht="28" customHeight="1" x14ac:dyDescent="0.35">
      <c r="A269" s="252"/>
      <c r="B269" s="251"/>
      <c r="C269" s="60">
        <v>0</v>
      </c>
      <c r="D269" s="60">
        <v>0</v>
      </c>
      <c r="E269" s="60">
        <v>0</v>
      </c>
      <c r="F269" s="61" t="s">
        <v>150</v>
      </c>
      <c r="G269" s="60">
        <f t="shared" si="118"/>
        <v>42800000</v>
      </c>
      <c r="H269" s="60">
        <f t="shared" si="124"/>
        <v>37700000</v>
      </c>
      <c r="I269" s="60">
        <f t="shared" si="124"/>
        <v>0</v>
      </c>
      <c r="J269" s="60">
        <f>J270</f>
        <v>37700000</v>
      </c>
      <c r="K269" s="60">
        <f t="shared" si="135"/>
        <v>37700000</v>
      </c>
      <c r="L269" s="60">
        <f t="shared" si="135"/>
        <v>0</v>
      </c>
      <c r="M269" s="60">
        <f t="shared" si="135"/>
        <v>5100000</v>
      </c>
      <c r="N269" s="60">
        <f t="shared" si="135"/>
        <v>0</v>
      </c>
      <c r="O269" s="60">
        <f t="shared" si="135"/>
        <v>0</v>
      </c>
      <c r="P269" s="60">
        <f t="shared" si="135"/>
        <v>0</v>
      </c>
      <c r="Q269" s="60">
        <f t="shared" si="135"/>
        <v>0</v>
      </c>
    </row>
    <row r="270" spans="1:22" ht="28" customHeight="1" x14ac:dyDescent="0.35">
      <c r="A270" s="252"/>
      <c r="B270" s="251"/>
      <c r="C270" s="90"/>
      <c r="D270" s="73"/>
      <c r="E270" s="19"/>
      <c r="F270" s="66" t="s">
        <v>151</v>
      </c>
      <c r="G270" s="67">
        <f t="shared" si="118"/>
        <v>42800000</v>
      </c>
      <c r="H270" s="67">
        <f t="shared" si="124"/>
        <v>37700000</v>
      </c>
      <c r="I270" s="67">
        <f t="shared" si="124"/>
        <v>0</v>
      </c>
      <c r="J270" s="67">
        <f>K270+L270</f>
        <v>37700000</v>
      </c>
      <c r="K270" s="67">
        <v>37700000</v>
      </c>
      <c r="L270" s="67">
        <v>0</v>
      </c>
      <c r="M270" s="68">
        <v>5100000</v>
      </c>
      <c r="N270" s="68">
        <f>O270+P270</f>
        <v>0</v>
      </c>
      <c r="O270" s="68">
        <v>0</v>
      </c>
      <c r="P270" s="68">
        <v>0</v>
      </c>
      <c r="Q270" s="68">
        <v>0</v>
      </c>
    </row>
    <row r="271" spans="1:22" ht="68.150000000000006" customHeight="1" x14ac:dyDescent="0.35">
      <c r="A271" s="263" t="s">
        <v>261</v>
      </c>
      <c r="B271" s="251" t="s">
        <v>262</v>
      </c>
      <c r="C271" s="56">
        <f>C272</f>
        <v>0</v>
      </c>
      <c r="D271" s="57">
        <f>D272</f>
        <v>0</v>
      </c>
      <c r="E271" s="58">
        <f>E272</f>
        <v>0</v>
      </c>
      <c r="F271" s="59" t="s">
        <v>263</v>
      </c>
      <c r="G271" s="58">
        <f t="shared" si="118"/>
        <v>29200000</v>
      </c>
      <c r="H271" s="58">
        <f t="shared" si="124"/>
        <v>4900000</v>
      </c>
      <c r="I271" s="58">
        <f t="shared" si="124"/>
        <v>5000000</v>
      </c>
      <c r="J271" s="58">
        <f>J272</f>
        <v>9900000</v>
      </c>
      <c r="K271" s="58">
        <f t="shared" ref="K271:Q272" si="136">K272</f>
        <v>4900000</v>
      </c>
      <c r="L271" s="58">
        <f t="shared" si="136"/>
        <v>5000000</v>
      </c>
      <c r="M271" s="58">
        <f t="shared" si="136"/>
        <v>19300000</v>
      </c>
      <c r="N271" s="58">
        <f t="shared" si="136"/>
        <v>0</v>
      </c>
      <c r="O271" s="58">
        <f t="shared" si="136"/>
        <v>0</v>
      </c>
      <c r="P271" s="58">
        <f t="shared" si="136"/>
        <v>0</v>
      </c>
      <c r="Q271" s="58">
        <f t="shared" si="136"/>
        <v>0</v>
      </c>
    </row>
    <row r="272" spans="1:22" s="108" customFormat="1" ht="30" customHeight="1" x14ac:dyDescent="0.35">
      <c r="A272" s="252"/>
      <c r="B272" s="251"/>
      <c r="C272" s="60">
        <v>0</v>
      </c>
      <c r="D272" s="60">
        <v>0</v>
      </c>
      <c r="E272" s="60">
        <v>0</v>
      </c>
      <c r="F272" s="61" t="s">
        <v>150</v>
      </c>
      <c r="G272" s="60">
        <f t="shared" si="118"/>
        <v>29200000</v>
      </c>
      <c r="H272" s="60">
        <f t="shared" si="124"/>
        <v>4900000</v>
      </c>
      <c r="I272" s="60">
        <f t="shared" si="124"/>
        <v>5000000</v>
      </c>
      <c r="J272" s="60">
        <f>J273</f>
        <v>9900000</v>
      </c>
      <c r="K272" s="60">
        <f t="shared" si="136"/>
        <v>4900000</v>
      </c>
      <c r="L272" s="60">
        <f t="shared" si="136"/>
        <v>5000000</v>
      </c>
      <c r="M272" s="60">
        <f t="shared" si="136"/>
        <v>19300000</v>
      </c>
      <c r="N272" s="60">
        <f t="shared" si="136"/>
        <v>0</v>
      </c>
      <c r="O272" s="60">
        <f t="shared" si="136"/>
        <v>0</v>
      </c>
      <c r="P272" s="60">
        <f t="shared" si="136"/>
        <v>0</v>
      </c>
      <c r="Q272" s="60">
        <f t="shared" si="136"/>
        <v>0</v>
      </c>
    </row>
    <row r="273" spans="1:17" s="108" customFormat="1" ht="30" customHeight="1" x14ac:dyDescent="0.35">
      <c r="A273" s="252"/>
      <c r="B273" s="251"/>
      <c r="C273" s="109"/>
      <c r="D273" s="79"/>
      <c r="E273" s="78"/>
      <c r="F273" s="66" t="s">
        <v>151</v>
      </c>
      <c r="G273" s="67">
        <f t="shared" si="118"/>
        <v>29200000</v>
      </c>
      <c r="H273" s="67">
        <f t="shared" si="124"/>
        <v>4900000</v>
      </c>
      <c r="I273" s="67">
        <f t="shared" si="124"/>
        <v>5000000</v>
      </c>
      <c r="J273" s="67">
        <f>K273+L273</f>
        <v>9900000</v>
      </c>
      <c r="K273" s="67">
        <v>4900000</v>
      </c>
      <c r="L273" s="67">
        <v>5000000</v>
      </c>
      <c r="M273" s="68">
        <v>19300000</v>
      </c>
      <c r="N273" s="68">
        <f>O273+P273</f>
        <v>0</v>
      </c>
      <c r="O273" s="68">
        <v>0</v>
      </c>
      <c r="P273" s="68">
        <v>0</v>
      </c>
      <c r="Q273" s="68">
        <v>0</v>
      </c>
    </row>
    <row r="274" spans="1:17" s="108" customFormat="1" ht="28" customHeight="1" x14ac:dyDescent="0.35">
      <c r="A274" s="263" t="s">
        <v>264</v>
      </c>
      <c r="B274" s="251" t="s">
        <v>265</v>
      </c>
      <c r="C274" s="56">
        <f>C275</f>
        <v>0</v>
      </c>
      <c r="D274" s="57">
        <f>D275</f>
        <v>0</v>
      </c>
      <c r="E274" s="58">
        <f>E275</f>
        <v>0</v>
      </c>
      <c r="F274" s="59" t="s">
        <v>266</v>
      </c>
      <c r="G274" s="58">
        <f t="shared" si="118"/>
        <v>21500000</v>
      </c>
      <c r="H274" s="58">
        <f t="shared" si="124"/>
        <v>21500000</v>
      </c>
      <c r="I274" s="58">
        <f t="shared" si="124"/>
        <v>0</v>
      </c>
      <c r="J274" s="58">
        <f>J275</f>
        <v>21500000</v>
      </c>
      <c r="K274" s="58">
        <f t="shared" ref="K274:Q275" si="137">K275</f>
        <v>21500000</v>
      </c>
      <c r="L274" s="58">
        <f t="shared" si="137"/>
        <v>0</v>
      </c>
      <c r="M274" s="58">
        <f t="shared" si="137"/>
        <v>0</v>
      </c>
      <c r="N274" s="58">
        <f t="shared" si="137"/>
        <v>0</v>
      </c>
      <c r="O274" s="58">
        <f t="shared" si="137"/>
        <v>0</v>
      </c>
      <c r="P274" s="58">
        <f t="shared" si="137"/>
        <v>0</v>
      </c>
      <c r="Q274" s="58">
        <f t="shared" si="137"/>
        <v>0</v>
      </c>
    </row>
    <row r="275" spans="1:17" ht="28" customHeight="1" x14ac:dyDescent="0.35">
      <c r="A275" s="252"/>
      <c r="B275" s="251"/>
      <c r="C275" s="60">
        <v>0</v>
      </c>
      <c r="D275" s="60">
        <v>0</v>
      </c>
      <c r="E275" s="60">
        <v>0</v>
      </c>
      <c r="F275" s="61" t="s">
        <v>36</v>
      </c>
      <c r="G275" s="60">
        <f t="shared" si="118"/>
        <v>21500000</v>
      </c>
      <c r="H275" s="60">
        <f t="shared" si="124"/>
        <v>21500000</v>
      </c>
      <c r="I275" s="60">
        <f t="shared" si="124"/>
        <v>0</v>
      </c>
      <c r="J275" s="60">
        <f>J276</f>
        <v>21500000</v>
      </c>
      <c r="K275" s="60">
        <f t="shared" si="137"/>
        <v>21500000</v>
      </c>
      <c r="L275" s="60">
        <f t="shared" si="137"/>
        <v>0</v>
      </c>
      <c r="M275" s="60">
        <f t="shared" si="137"/>
        <v>0</v>
      </c>
      <c r="N275" s="60">
        <f t="shared" si="137"/>
        <v>0</v>
      </c>
      <c r="O275" s="60">
        <f t="shared" si="137"/>
        <v>0</v>
      </c>
      <c r="P275" s="60">
        <f t="shared" si="137"/>
        <v>0</v>
      </c>
      <c r="Q275" s="60">
        <f t="shared" si="137"/>
        <v>0</v>
      </c>
    </row>
    <row r="276" spans="1:17" ht="28" customHeight="1" x14ac:dyDescent="0.35">
      <c r="A276" s="252"/>
      <c r="B276" s="251"/>
      <c r="C276" s="110"/>
      <c r="D276" s="78"/>
      <c r="E276" s="78"/>
      <c r="F276" s="66" t="s">
        <v>37</v>
      </c>
      <c r="G276" s="67">
        <f t="shared" si="118"/>
        <v>21500000</v>
      </c>
      <c r="H276" s="67">
        <f t="shared" si="124"/>
        <v>21500000</v>
      </c>
      <c r="I276" s="67">
        <f t="shared" si="124"/>
        <v>0</v>
      </c>
      <c r="J276" s="67">
        <f>K276+L276</f>
        <v>21500000</v>
      </c>
      <c r="K276" s="67">
        <f>5000000+16500000</f>
        <v>21500000</v>
      </c>
      <c r="L276" s="67">
        <v>0</v>
      </c>
      <c r="M276" s="68">
        <f>16500000-16500000</f>
        <v>0</v>
      </c>
      <c r="N276" s="68">
        <f>O276+P276</f>
        <v>0</v>
      </c>
      <c r="O276" s="68">
        <v>0</v>
      </c>
      <c r="P276" s="68">
        <v>0</v>
      </c>
      <c r="Q276" s="68">
        <v>0</v>
      </c>
    </row>
    <row r="277" spans="1:17" ht="28.5" x14ac:dyDescent="0.35">
      <c r="A277" s="45" t="s">
        <v>267</v>
      </c>
      <c r="B277" s="46" t="s">
        <v>268</v>
      </c>
      <c r="C277" s="47">
        <f>C278</f>
        <v>731741859</v>
      </c>
      <c r="D277" s="47">
        <f>D278</f>
        <v>0</v>
      </c>
      <c r="E277" s="48">
        <f>E278</f>
        <v>0</v>
      </c>
      <c r="F277" s="49"/>
      <c r="G277" s="48">
        <f>G278</f>
        <v>872241859</v>
      </c>
      <c r="H277" s="48">
        <f>H278</f>
        <v>566141859</v>
      </c>
      <c r="I277" s="48">
        <f>I278</f>
        <v>6000000</v>
      </c>
      <c r="J277" s="48">
        <f>J278</f>
        <v>572141859</v>
      </c>
      <c r="K277" s="48">
        <f t="shared" ref="K277:P277" si="138">K278</f>
        <v>566141859</v>
      </c>
      <c r="L277" s="48">
        <f t="shared" si="138"/>
        <v>6000000</v>
      </c>
      <c r="M277" s="48">
        <f t="shared" si="138"/>
        <v>300100000</v>
      </c>
      <c r="N277" s="48">
        <f t="shared" si="138"/>
        <v>0</v>
      </c>
      <c r="O277" s="48">
        <f t="shared" si="138"/>
        <v>0</v>
      </c>
      <c r="P277" s="48">
        <f t="shared" si="138"/>
        <v>0</v>
      </c>
      <c r="Q277" s="48">
        <f>Q278</f>
        <v>0</v>
      </c>
    </row>
    <row r="278" spans="1:17" ht="52" x14ac:dyDescent="0.35">
      <c r="A278" s="87" t="s">
        <v>269</v>
      </c>
      <c r="B278" s="88" t="s">
        <v>270</v>
      </c>
      <c r="C278" s="52">
        <f>C279+C284+C289</f>
        <v>731741859</v>
      </c>
      <c r="D278" s="52">
        <f>D279+D284+D289</f>
        <v>0</v>
      </c>
      <c r="E278" s="53">
        <f>E279+E284+E289</f>
        <v>0</v>
      </c>
      <c r="F278" s="54" t="s">
        <v>271</v>
      </c>
      <c r="G278" s="52">
        <f>J278+M278+N278+Q278</f>
        <v>872241859</v>
      </c>
      <c r="H278" s="52">
        <f>K278+O278</f>
        <v>566141859</v>
      </c>
      <c r="I278" s="52">
        <f>L278+P278</f>
        <v>6000000</v>
      </c>
      <c r="J278" s="52">
        <f>J279+J284+J289</f>
        <v>572141859</v>
      </c>
      <c r="K278" s="52">
        <f t="shared" ref="K278:Q278" si="139">K279+K284+K289</f>
        <v>566141859</v>
      </c>
      <c r="L278" s="52">
        <f t="shared" si="139"/>
        <v>6000000</v>
      </c>
      <c r="M278" s="52">
        <f t="shared" si="139"/>
        <v>300100000</v>
      </c>
      <c r="N278" s="52">
        <f t="shared" si="139"/>
        <v>0</v>
      </c>
      <c r="O278" s="52">
        <f t="shared" si="139"/>
        <v>0</v>
      </c>
      <c r="P278" s="52">
        <f t="shared" si="139"/>
        <v>0</v>
      </c>
      <c r="Q278" s="52">
        <f t="shared" si="139"/>
        <v>0</v>
      </c>
    </row>
    <row r="279" spans="1:17" ht="28" customHeight="1" x14ac:dyDescent="0.35">
      <c r="A279" s="252" t="s">
        <v>272</v>
      </c>
      <c r="B279" s="251" t="s">
        <v>273</v>
      </c>
      <c r="C279" s="56">
        <f>C280</f>
        <v>316597392</v>
      </c>
      <c r="D279" s="57">
        <f>D280</f>
        <v>0</v>
      </c>
      <c r="E279" s="58">
        <f>E280</f>
        <v>0</v>
      </c>
      <c r="F279" s="59" t="s">
        <v>274</v>
      </c>
      <c r="G279" s="58">
        <f t="shared" ref="G279:G293" si="140">J279+M279+N279+Q279</f>
        <v>457097392</v>
      </c>
      <c r="H279" s="58">
        <f t="shared" ref="H279:I293" si="141">K279+O279</f>
        <v>457097392</v>
      </c>
      <c r="I279" s="58">
        <f t="shared" si="141"/>
        <v>0</v>
      </c>
      <c r="J279" s="58">
        <f>J280</f>
        <v>457097392</v>
      </c>
      <c r="K279" s="58">
        <f t="shared" ref="K279:Q279" si="142">K280</f>
        <v>457097392</v>
      </c>
      <c r="L279" s="58">
        <f t="shared" si="142"/>
        <v>0</v>
      </c>
      <c r="M279" s="58">
        <f t="shared" si="142"/>
        <v>0</v>
      </c>
      <c r="N279" s="58">
        <f t="shared" si="142"/>
        <v>0</v>
      </c>
      <c r="O279" s="58">
        <f t="shared" si="142"/>
        <v>0</v>
      </c>
      <c r="P279" s="58">
        <f t="shared" si="142"/>
        <v>0</v>
      </c>
      <c r="Q279" s="58">
        <f t="shared" si="142"/>
        <v>0</v>
      </c>
    </row>
    <row r="280" spans="1:17" ht="28" customHeight="1" x14ac:dyDescent="0.35">
      <c r="A280" s="252"/>
      <c r="B280" s="251"/>
      <c r="C280" s="69">
        <f>G282+G283</f>
        <v>316597392</v>
      </c>
      <c r="D280" s="60">
        <v>0</v>
      </c>
      <c r="E280" s="60">
        <v>0</v>
      </c>
      <c r="F280" s="61" t="s">
        <v>115</v>
      </c>
      <c r="G280" s="60">
        <f t="shared" si="140"/>
        <v>457097392</v>
      </c>
      <c r="H280" s="60">
        <f t="shared" si="141"/>
        <v>457097392</v>
      </c>
      <c r="I280" s="60">
        <f t="shared" si="141"/>
        <v>0</v>
      </c>
      <c r="J280" s="60">
        <f>J281+J282+J283</f>
        <v>457097392</v>
      </c>
      <c r="K280" s="60">
        <f t="shared" ref="K280:Q280" si="143">K281+K282+K283</f>
        <v>457097392</v>
      </c>
      <c r="L280" s="60">
        <f t="shared" si="143"/>
        <v>0</v>
      </c>
      <c r="M280" s="60">
        <f t="shared" si="143"/>
        <v>0</v>
      </c>
      <c r="N280" s="60">
        <f t="shared" si="143"/>
        <v>0</v>
      </c>
      <c r="O280" s="60">
        <f t="shared" si="143"/>
        <v>0</v>
      </c>
      <c r="P280" s="60">
        <f t="shared" si="143"/>
        <v>0</v>
      </c>
      <c r="Q280" s="60">
        <f t="shared" si="143"/>
        <v>0</v>
      </c>
    </row>
    <row r="281" spans="1:17" ht="28" customHeight="1" x14ac:dyDescent="0.35">
      <c r="A281" s="252"/>
      <c r="B281" s="251"/>
      <c r="C281" s="78"/>
      <c r="D281" s="78"/>
      <c r="E281" s="73"/>
      <c r="F281" s="66" t="s">
        <v>116</v>
      </c>
      <c r="G281" s="67">
        <f t="shared" si="140"/>
        <v>140500000</v>
      </c>
      <c r="H281" s="67">
        <f t="shared" si="141"/>
        <v>140500000</v>
      </c>
      <c r="I281" s="67">
        <f t="shared" si="141"/>
        <v>0</v>
      </c>
      <c r="J281" s="67">
        <f>K281+L281</f>
        <v>140500000</v>
      </c>
      <c r="K281" s="67">
        <v>140500000</v>
      </c>
      <c r="L281" s="67">
        <v>0</v>
      </c>
      <c r="M281" s="68">
        <v>0</v>
      </c>
      <c r="N281" s="67">
        <f>O281+P281</f>
        <v>0</v>
      </c>
      <c r="O281" s="67">
        <v>0</v>
      </c>
      <c r="P281" s="67">
        <v>0</v>
      </c>
      <c r="Q281" s="67">
        <v>0</v>
      </c>
    </row>
    <row r="282" spans="1:17" ht="28" customHeight="1" x14ac:dyDescent="0.35">
      <c r="A282" s="252"/>
      <c r="B282" s="251"/>
      <c r="C282" s="78"/>
      <c r="D282" s="78"/>
      <c r="E282" s="73"/>
      <c r="F282" s="66" t="s">
        <v>275</v>
      </c>
      <c r="G282" s="71">
        <f t="shared" si="140"/>
        <v>149057549</v>
      </c>
      <c r="H282" s="71">
        <f t="shared" si="141"/>
        <v>149057549</v>
      </c>
      <c r="I282" s="71">
        <f t="shared" si="141"/>
        <v>0</v>
      </c>
      <c r="J282" s="71">
        <f>K282+L282</f>
        <v>149057549</v>
      </c>
      <c r="K282" s="71">
        <f>160000000-10942451</f>
        <v>149057549</v>
      </c>
      <c r="L282" s="71">
        <v>0</v>
      </c>
      <c r="M282" s="71">
        <v>0</v>
      </c>
      <c r="N282" s="71">
        <f>O282+P282</f>
        <v>0</v>
      </c>
      <c r="O282" s="71">
        <v>0</v>
      </c>
      <c r="P282" s="71">
        <v>0</v>
      </c>
      <c r="Q282" s="71">
        <v>0</v>
      </c>
    </row>
    <row r="283" spans="1:17" ht="28" customHeight="1" x14ac:dyDescent="0.35">
      <c r="A283" s="252"/>
      <c r="B283" s="251"/>
      <c r="C283" s="78"/>
      <c r="D283" s="78"/>
      <c r="E283" s="73"/>
      <c r="F283" s="66" t="s">
        <v>276</v>
      </c>
      <c r="G283" s="71">
        <f t="shared" si="140"/>
        <v>167539843</v>
      </c>
      <c r="H283" s="71">
        <f t="shared" si="141"/>
        <v>167539843</v>
      </c>
      <c r="I283" s="71">
        <f t="shared" si="141"/>
        <v>0</v>
      </c>
      <c r="J283" s="71">
        <f>K283+L283</f>
        <v>167539843</v>
      </c>
      <c r="K283" s="71">
        <f>190000000+111249-22571406</f>
        <v>167539843</v>
      </c>
      <c r="L283" s="71">
        <v>0</v>
      </c>
      <c r="M283" s="71">
        <v>0</v>
      </c>
      <c r="N283" s="71">
        <f>O283+P283</f>
        <v>0</v>
      </c>
      <c r="O283" s="71">
        <v>0</v>
      </c>
      <c r="P283" s="71">
        <v>0</v>
      </c>
      <c r="Q283" s="71">
        <v>0</v>
      </c>
    </row>
    <row r="284" spans="1:17" ht="28" customHeight="1" x14ac:dyDescent="0.35">
      <c r="A284" s="262" t="s">
        <v>277</v>
      </c>
      <c r="B284" s="251" t="s">
        <v>278</v>
      </c>
      <c r="C284" s="56">
        <f>C285</f>
        <v>115044467</v>
      </c>
      <c r="D284" s="57">
        <f>D285</f>
        <v>0</v>
      </c>
      <c r="E284" s="58">
        <f>E285</f>
        <v>0</v>
      </c>
      <c r="F284" s="59" t="s">
        <v>279</v>
      </c>
      <c r="G284" s="58">
        <f t="shared" si="140"/>
        <v>115044467</v>
      </c>
      <c r="H284" s="58">
        <f t="shared" si="141"/>
        <v>109044467</v>
      </c>
      <c r="I284" s="58">
        <f t="shared" si="141"/>
        <v>6000000</v>
      </c>
      <c r="J284" s="58">
        <f t="shared" ref="J284:Q284" si="144">J285</f>
        <v>115044467</v>
      </c>
      <c r="K284" s="58">
        <f t="shared" si="144"/>
        <v>109044467</v>
      </c>
      <c r="L284" s="58">
        <f t="shared" si="144"/>
        <v>6000000</v>
      </c>
      <c r="M284" s="58">
        <f t="shared" si="144"/>
        <v>0</v>
      </c>
      <c r="N284" s="58">
        <f t="shared" si="144"/>
        <v>0</v>
      </c>
      <c r="O284" s="58">
        <f t="shared" si="144"/>
        <v>0</v>
      </c>
      <c r="P284" s="58">
        <f t="shared" si="144"/>
        <v>0</v>
      </c>
      <c r="Q284" s="58">
        <f t="shared" si="144"/>
        <v>0</v>
      </c>
    </row>
    <row r="285" spans="1:17" ht="28" customHeight="1" x14ac:dyDescent="0.35">
      <c r="A285" s="262"/>
      <c r="B285" s="251"/>
      <c r="C285" s="69">
        <f>G287+G288</f>
        <v>115044467</v>
      </c>
      <c r="D285" s="60">
        <v>0</v>
      </c>
      <c r="E285" s="60">
        <v>0</v>
      </c>
      <c r="F285" s="61" t="s">
        <v>36</v>
      </c>
      <c r="G285" s="60">
        <f t="shared" si="140"/>
        <v>115044467</v>
      </c>
      <c r="H285" s="60">
        <f t="shared" si="141"/>
        <v>109044467</v>
      </c>
      <c r="I285" s="60">
        <f t="shared" si="141"/>
        <v>6000000</v>
      </c>
      <c r="J285" s="60">
        <f t="shared" ref="J285:Q285" si="145">J286+J287+J288</f>
        <v>115044467</v>
      </c>
      <c r="K285" s="60">
        <f t="shared" si="145"/>
        <v>109044467</v>
      </c>
      <c r="L285" s="60">
        <f t="shared" si="145"/>
        <v>6000000</v>
      </c>
      <c r="M285" s="60">
        <f t="shared" si="145"/>
        <v>0</v>
      </c>
      <c r="N285" s="60">
        <f t="shared" si="145"/>
        <v>0</v>
      </c>
      <c r="O285" s="60">
        <f t="shared" si="145"/>
        <v>0</v>
      </c>
      <c r="P285" s="60">
        <f t="shared" si="145"/>
        <v>0</v>
      </c>
      <c r="Q285" s="60">
        <f t="shared" si="145"/>
        <v>0</v>
      </c>
    </row>
    <row r="286" spans="1:17" ht="28" customHeight="1" x14ac:dyDescent="0.35">
      <c r="A286" s="262"/>
      <c r="B286" s="251"/>
      <c r="C286" s="78"/>
      <c r="D286" s="78"/>
      <c r="E286" s="73"/>
      <c r="F286" s="66" t="s">
        <v>37</v>
      </c>
      <c r="G286" s="67">
        <f t="shared" si="140"/>
        <v>0</v>
      </c>
      <c r="H286" s="67">
        <f t="shared" si="141"/>
        <v>0</v>
      </c>
      <c r="I286" s="67">
        <f t="shared" si="141"/>
        <v>0</v>
      </c>
      <c r="J286" s="67">
        <f>K286+L286</f>
        <v>0</v>
      </c>
      <c r="K286" s="67">
        <v>0</v>
      </c>
      <c r="L286" s="67">
        <v>0</v>
      </c>
      <c r="M286" s="68">
        <v>0</v>
      </c>
      <c r="N286" s="67">
        <f>O286+P286</f>
        <v>0</v>
      </c>
      <c r="O286" s="67">
        <v>0</v>
      </c>
      <c r="P286" s="67">
        <v>0</v>
      </c>
      <c r="Q286" s="67">
        <v>0</v>
      </c>
    </row>
    <row r="287" spans="1:17" ht="28" customHeight="1" x14ac:dyDescent="0.35">
      <c r="A287" s="262"/>
      <c r="B287" s="251"/>
      <c r="C287" s="78"/>
      <c r="D287" s="78"/>
      <c r="E287" s="73"/>
      <c r="F287" s="66" t="s">
        <v>38</v>
      </c>
      <c r="G287" s="71">
        <f t="shared" si="140"/>
        <v>76112690</v>
      </c>
      <c r="H287" s="71">
        <f t="shared" si="141"/>
        <v>70112690</v>
      </c>
      <c r="I287" s="71">
        <f t="shared" si="141"/>
        <v>6000000</v>
      </c>
      <c r="J287" s="71">
        <f>K287+L287</f>
        <v>76112690</v>
      </c>
      <c r="K287" s="71">
        <f>64000000+6112690</f>
        <v>70112690</v>
      </c>
      <c r="L287" s="71">
        <v>6000000</v>
      </c>
      <c r="M287" s="71">
        <v>0</v>
      </c>
      <c r="N287" s="71">
        <f>O287+P287</f>
        <v>0</v>
      </c>
      <c r="O287" s="71">
        <v>0</v>
      </c>
      <c r="P287" s="71">
        <v>0</v>
      </c>
      <c r="Q287" s="71">
        <v>0</v>
      </c>
    </row>
    <row r="288" spans="1:17" ht="28" customHeight="1" x14ac:dyDescent="0.35">
      <c r="A288" s="262"/>
      <c r="B288" s="251"/>
      <c r="C288" s="78"/>
      <c r="D288" s="78"/>
      <c r="E288" s="73"/>
      <c r="F288" s="66" t="s">
        <v>39</v>
      </c>
      <c r="G288" s="71">
        <f t="shared" si="140"/>
        <v>38931777</v>
      </c>
      <c r="H288" s="71">
        <f t="shared" si="141"/>
        <v>38931777</v>
      </c>
      <c r="I288" s="71">
        <f t="shared" si="141"/>
        <v>0</v>
      </c>
      <c r="J288" s="71">
        <f>K288+L288</f>
        <v>38931777</v>
      </c>
      <c r="K288" s="71">
        <f>30000000+500000+8431777</f>
        <v>38931777</v>
      </c>
      <c r="L288" s="71">
        <v>0</v>
      </c>
      <c r="M288" s="71">
        <v>0</v>
      </c>
      <c r="N288" s="71">
        <f>O288+P288</f>
        <v>0</v>
      </c>
      <c r="O288" s="71">
        <v>0</v>
      </c>
      <c r="P288" s="71">
        <v>0</v>
      </c>
      <c r="Q288" s="71">
        <v>0</v>
      </c>
    </row>
    <row r="289" spans="1:17" ht="28" customHeight="1" x14ac:dyDescent="0.35">
      <c r="A289" s="252" t="s">
        <v>280</v>
      </c>
      <c r="B289" s="251" t="s">
        <v>281</v>
      </c>
      <c r="C289" s="56">
        <f>C290</f>
        <v>300100000</v>
      </c>
      <c r="D289" s="57">
        <f>D290</f>
        <v>0</v>
      </c>
      <c r="E289" s="58">
        <f>E290</f>
        <v>0</v>
      </c>
      <c r="F289" s="59" t="s">
        <v>282</v>
      </c>
      <c r="G289" s="58">
        <f t="shared" si="140"/>
        <v>300100000</v>
      </c>
      <c r="H289" s="58">
        <f t="shared" si="141"/>
        <v>0</v>
      </c>
      <c r="I289" s="58">
        <f t="shared" si="141"/>
        <v>0</v>
      </c>
      <c r="J289" s="58">
        <f>J290</f>
        <v>0</v>
      </c>
      <c r="K289" s="58">
        <f t="shared" ref="K289:Q289" si="146">K290</f>
        <v>0</v>
      </c>
      <c r="L289" s="58">
        <f t="shared" si="146"/>
        <v>0</v>
      </c>
      <c r="M289" s="58">
        <f t="shared" si="146"/>
        <v>300100000</v>
      </c>
      <c r="N289" s="58">
        <f t="shared" si="146"/>
        <v>0</v>
      </c>
      <c r="O289" s="58">
        <f t="shared" si="146"/>
        <v>0</v>
      </c>
      <c r="P289" s="58">
        <f t="shared" si="146"/>
        <v>0</v>
      </c>
      <c r="Q289" s="58">
        <f t="shared" si="146"/>
        <v>0</v>
      </c>
    </row>
    <row r="290" spans="1:17" ht="28" customHeight="1" x14ac:dyDescent="0.35">
      <c r="A290" s="252"/>
      <c r="B290" s="251"/>
      <c r="C290" s="69">
        <f>G292+G293</f>
        <v>300100000</v>
      </c>
      <c r="D290" s="60">
        <v>0</v>
      </c>
      <c r="E290" s="60">
        <v>0</v>
      </c>
      <c r="F290" s="61" t="s">
        <v>115</v>
      </c>
      <c r="G290" s="60">
        <f t="shared" si="140"/>
        <v>300100000</v>
      </c>
      <c r="H290" s="60">
        <f t="shared" si="141"/>
        <v>0</v>
      </c>
      <c r="I290" s="60">
        <f t="shared" si="141"/>
        <v>0</v>
      </c>
      <c r="J290" s="60">
        <f>J291+J292+J293</f>
        <v>0</v>
      </c>
      <c r="K290" s="60">
        <f t="shared" ref="K290:Q290" si="147">K291+K292+K293</f>
        <v>0</v>
      </c>
      <c r="L290" s="60">
        <f t="shared" si="147"/>
        <v>0</v>
      </c>
      <c r="M290" s="60">
        <f t="shared" si="147"/>
        <v>300100000</v>
      </c>
      <c r="N290" s="60">
        <f t="shared" si="147"/>
        <v>0</v>
      </c>
      <c r="O290" s="60">
        <f t="shared" si="147"/>
        <v>0</v>
      </c>
      <c r="P290" s="60">
        <f t="shared" si="147"/>
        <v>0</v>
      </c>
      <c r="Q290" s="60">
        <f t="shared" si="147"/>
        <v>0</v>
      </c>
    </row>
    <row r="291" spans="1:17" ht="28" customHeight="1" x14ac:dyDescent="0.35">
      <c r="A291" s="252"/>
      <c r="B291" s="251"/>
      <c r="C291" s="78"/>
      <c r="D291" s="78"/>
      <c r="E291" s="73"/>
      <c r="F291" s="66" t="s">
        <v>116</v>
      </c>
      <c r="G291" s="67">
        <f t="shared" si="140"/>
        <v>0</v>
      </c>
      <c r="H291" s="67">
        <f t="shared" si="141"/>
        <v>0</v>
      </c>
      <c r="I291" s="67">
        <f t="shared" si="141"/>
        <v>0</v>
      </c>
      <c r="J291" s="67">
        <f>K291+L291</f>
        <v>0</v>
      </c>
      <c r="K291" s="67">
        <v>0</v>
      </c>
      <c r="L291" s="67">
        <v>0</v>
      </c>
      <c r="M291" s="68">
        <v>0</v>
      </c>
      <c r="N291" s="67">
        <f>O291+P291</f>
        <v>0</v>
      </c>
      <c r="O291" s="67">
        <v>0</v>
      </c>
      <c r="P291" s="67">
        <v>0</v>
      </c>
      <c r="Q291" s="67">
        <v>0</v>
      </c>
    </row>
    <row r="292" spans="1:17" ht="28" customHeight="1" x14ac:dyDescent="0.35">
      <c r="A292" s="252"/>
      <c r="B292" s="251"/>
      <c r="C292" s="78"/>
      <c r="D292" s="78"/>
      <c r="E292" s="73"/>
      <c r="F292" s="66" t="s">
        <v>275</v>
      </c>
      <c r="G292" s="71">
        <f t="shared" si="140"/>
        <v>71209000</v>
      </c>
      <c r="H292" s="71">
        <f t="shared" si="141"/>
        <v>0</v>
      </c>
      <c r="I292" s="71">
        <f t="shared" si="141"/>
        <v>0</v>
      </c>
      <c r="J292" s="71">
        <f>K292+L292</f>
        <v>0</v>
      </c>
      <c r="K292" s="71">
        <v>0</v>
      </c>
      <c r="L292" s="71">
        <v>0</v>
      </c>
      <c r="M292" s="71">
        <v>71209000</v>
      </c>
      <c r="N292" s="71">
        <f>O292+P292</f>
        <v>0</v>
      </c>
      <c r="O292" s="71">
        <v>0</v>
      </c>
      <c r="P292" s="71">
        <v>0</v>
      </c>
      <c r="Q292" s="71">
        <v>0</v>
      </c>
    </row>
    <row r="293" spans="1:17" ht="28" customHeight="1" x14ac:dyDescent="0.35">
      <c r="A293" s="252"/>
      <c r="B293" s="251"/>
      <c r="C293" s="78"/>
      <c r="D293" s="78"/>
      <c r="E293" s="73"/>
      <c r="F293" s="66" t="s">
        <v>276</v>
      </c>
      <c r="G293" s="71">
        <f t="shared" si="140"/>
        <v>228891000</v>
      </c>
      <c r="H293" s="71">
        <f t="shared" si="141"/>
        <v>0</v>
      </c>
      <c r="I293" s="71">
        <f t="shared" si="141"/>
        <v>0</v>
      </c>
      <c r="J293" s="71">
        <f>K293+L293</f>
        <v>0</v>
      </c>
      <c r="K293" s="71">
        <v>0</v>
      </c>
      <c r="L293" s="71">
        <v>0</v>
      </c>
      <c r="M293" s="71">
        <v>228891000</v>
      </c>
      <c r="N293" s="71">
        <f>O293+P293</f>
        <v>0</v>
      </c>
      <c r="O293" s="71">
        <v>0</v>
      </c>
      <c r="P293" s="71">
        <v>0</v>
      </c>
      <c r="Q293" s="71">
        <v>0</v>
      </c>
    </row>
    <row r="294" spans="1:17" s="111" customFormat="1" ht="28.5" x14ac:dyDescent="0.35">
      <c r="A294" s="39" t="s">
        <v>283</v>
      </c>
      <c r="B294" s="40" t="s">
        <v>284</v>
      </c>
      <c r="C294" s="41">
        <f>C295</f>
        <v>190116773</v>
      </c>
      <c r="D294" s="41">
        <f>D295</f>
        <v>30500000</v>
      </c>
      <c r="E294" s="42">
        <f>E295</f>
        <v>50000000</v>
      </c>
      <c r="F294" s="43"/>
      <c r="G294" s="42">
        <f>G295</f>
        <v>2023215046</v>
      </c>
      <c r="H294" s="42">
        <f t="shared" ref="H294:Q294" si="148">H295</f>
        <v>787418394</v>
      </c>
      <c r="I294" s="42">
        <f t="shared" si="148"/>
        <v>25208482</v>
      </c>
      <c r="J294" s="42">
        <f t="shared" si="148"/>
        <v>812626876</v>
      </c>
      <c r="K294" s="42">
        <f t="shared" si="148"/>
        <v>787418394</v>
      </c>
      <c r="L294" s="42">
        <f t="shared" si="148"/>
        <v>25208482</v>
      </c>
      <c r="M294" s="42">
        <f t="shared" si="148"/>
        <v>1210588170</v>
      </c>
      <c r="N294" s="42">
        <f t="shared" si="148"/>
        <v>0</v>
      </c>
      <c r="O294" s="42">
        <f t="shared" si="148"/>
        <v>0</v>
      </c>
      <c r="P294" s="42">
        <f t="shared" si="148"/>
        <v>0</v>
      </c>
      <c r="Q294" s="42">
        <f t="shared" si="148"/>
        <v>0</v>
      </c>
    </row>
    <row r="295" spans="1:17" s="111" customFormat="1" ht="28.5" x14ac:dyDescent="0.35">
      <c r="A295" s="45" t="s">
        <v>285</v>
      </c>
      <c r="B295" s="46" t="s">
        <v>286</v>
      </c>
      <c r="C295" s="47">
        <f>C296+C308</f>
        <v>190116773</v>
      </c>
      <c r="D295" s="47">
        <f>D296+D308</f>
        <v>30500000</v>
      </c>
      <c r="E295" s="48">
        <f>E296+E308</f>
        <v>50000000</v>
      </c>
      <c r="F295" s="49"/>
      <c r="G295" s="48">
        <f t="shared" ref="G295:G315" si="149">J295+M295+N295+Q295</f>
        <v>2023215046</v>
      </c>
      <c r="H295" s="48">
        <f t="shared" ref="H295:I311" si="150">K295+O295</f>
        <v>787418394</v>
      </c>
      <c r="I295" s="48">
        <f t="shared" si="150"/>
        <v>25208482</v>
      </c>
      <c r="J295" s="48">
        <f t="shared" ref="J295:Q295" si="151">J296+J308</f>
        <v>812626876</v>
      </c>
      <c r="K295" s="48">
        <f t="shared" si="151"/>
        <v>787418394</v>
      </c>
      <c r="L295" s="48">
        <f t="shared" si="151"/>
        <v>25208482</v>
      </c>
      <c r="M295" s="48">
        <f t="shared" si="151"/>
        <v>1210588170</v>
      </c>
      <c r="N295" s="48">
        <f t="shared" si="151"/>
        <v>0</v>
      </c>
      <c r="O295" s="48">
        <f t="shared" si="151"/>
        <v>0</v>
      </c>
      <c r="P295" s="48">
        <f t="shared" si="151"/>
        <v>0</v>
      </c>
      <c r="Q295" s="48">
        <f t="shared" si="151"/>
        <v>0</v>
      </c>
    </row>
    <row r="296" spans="1:17" ht="52" x14ac:dyDescent="0.35">
      <c r="A296" s="87" t="s">
        <v>287</v>
      </c>
      <c r="B296" s="88" t="s">
        <v>288</v>
      </c>
      <c r="C296" s="52">
        <f>C297+C300+C304</f>
        <v>0</v>
      </c>
      <c r="D296" s="52">
        <f>D297+D300+D304</f>
        <v>0</v>
      </c>
      <c r="E296" s="53">
        <f>E297+E300+E304</f>
        <v>25000000</v>
      </c>
      <c r="F296" s="54" t="s">
        <v>289</v>
      </c>
      <c r="G296" s="52">
        <f t="shared" si="149"/>
        <v>1351738649</v>
      </c>
      <c r="H296" s="52">
        <f t="shared" si="150"/>
        <v>121150479</v>
      </c>
      <c r="I296" s="52">
        <f t="shared" si="150"/>
        <v>20000000</v>
      </c>
      <c r="J296" s="52">
        <f t="shared" ref="J296:Q296" si="152">J300+J297+J304</f>
        <v>141150479</v>
      </c>
      <c r="K296" s="52">
        <f t="shared" si="152"/>
        <v>121150479</v>
      </c>
      <c r="L296" s="52">
        <f t="shared" si="152"/>
        <v>20000000</v>
      </c>
      <c r="M296" s="52">
        <f t="shared" si="152"/>
        <v>1210588170</v>
      </c>
      <c r="N296" s="52">
        <f t="shared" si="152"/>
        <v>0</v>
      </c>
      <c r="O296" s="52">
        <f t="shared" si="152"/>
        <v>0</v>
      </c>
      <c r="P296" s="52">
        <f t="shared" si="152"/>
        <v>0</v>
      </c>
      <c r="Q296" s="52">
        <f t="shared" si="152"/>
        <v>0</v>
      </c>
    </row>
    <row r="297" spans="1:17" ht="28" customHeight="1" x14ac:dyDescent="0.35">
      <c r="A297" s="252" t="s">
        <v>290</v>
      </c>
      <c r="B297" s="251" t="s">
        <v>291</v>
      </c>
      <c r="C297" s="56">
        <f>C298</f>
        <v>0</v>
      </c>
      <c r="D297" s="57">
        <f>D298</f>
        <v>0</v>
      </c>
      <c r="E297" s="58">
        <f>E298</f>
        <v>0</v>
      </c>
      <c r="F297" s="59" t="s">
        <v>292</v>
      </c>
      <c r="G297" s="58">
        <f t="shared" si="149"/>
        <v>506995465</v>
      </c>
      <c r="H297" s="58">
        <f t="shared" si="150"/>
        <v>50749479</v>
      </c>
      <c r="I297" s="58">
        <f t="shared" si="150"/>
        <v>20000000</v>
      </c>
      <c r="J297" s="58">
        <f t="shared" ref="J297:Q298" si="153">J298</f>
        <v>70749479</v>
      </c>
      <c r="K297" s="58">
        <f t="shared" si="153"/>
        <v>50749479</v>
      </c>
      <c r="L297" s="58">
        <f t="shared" si="153"/>
        <v>20000000</v>
      </c>
      <c r="M297" s="58">
        <f t="shared" si="153"/>
        <v>436245986</v>
      </c>
      <c r="N297" s="58">
        <f t="shared" si="153"/>
        <v>0</v>
      </c>
      <c r="O297" s="58">
        <f t="shared" si="153"/>
        <v>0</v>
      </c>
      <c r="P297" s="58">
        <f t="shared" si="153"/>
        <v>0</v>
      </c>
      <c r="Q297" s="58">
        <f t="shared" si="153"/>
        <v>0</v>
      </c>
    </row>
    <row r="298" spans="1:17" ht="28" customHeight="1" x14ac:dyDescent="0.35">
      <c r="A298" s="252"/>
      <c r="B298" s="251"/>
      <c r="C298" s="60">
        <v>0</v>
      </c>
      <c r="D298" s="60">
        <v>0</v>
      </c>
      <c r="E298" s="60">
        <v>0</v>
      </c>
      <c r="F298" s="61" t="s">
        <v>115</v>
      </c>
      <c r="G298" s="77">
        <f t="shared" si="149"/>
        <v>506995465</v>
      </c>
      <c r="H298" s="77">
        <f t="shared" si="150"/>
        <v>50749479</v>
      </c>
      <c r="I298" s="77">
        <f t="shared" si="150"/>
        <v>20000000</v>
      </c>
      <c r="J298" s="77">
        <f>J299</f>
        <v>70749479</v>
      </c>
      <c r="K298" s="77">
        <f t="shared" si="153"/>
        <v>50749479</v>
      </c>
      <c r="L298" s="77">
        <f t="shared" si="153"/>
        <v>20000000</v>
      </c>
      <c r="M298" s="77">
        <f t="shared" si="153"/>
        <v>436245986</v>
      </c>
      <c r="N298" s="77">
        <f t="shared" si="153"/>
        <v>0</v>
      </c>
      <c r="O298" s="77">
        <f t="shared" si="153"/>
        <v>0</v>
      </c>
      <c r="P298" s="77">
        <f t="shared" si="153"/>
        <v>0</v>
      </c>
      <c r="Q298" s="77">
        <f t="shared" si="153"/>
        <v>0</v>
      </c>
    </row>
    <row r="299" spans="1:17" ht="28" customHeight="1" x14ac:dyDescent="0.35">
      <c r="A299" s="252"/>
      <c r="B299" s="251"/>
      <c r="C299" s="90"/>
      <c r="D299" s="73"/>
      <c r="E299" s="73"/>
      <c r="F299" s="66" t="s">
        <v>116</v>
      </c>
      <c r="G299" s="68">
        <f t="shared" si="149"/>
        <v>506995465</v>
      </c>
      <c r="H299" s="68">
        <f t="shared" si="150"/>
        <v>50749479</v>
      </c>
      <c r="I299" s="68">
        <f t="shared" si="150"/>
        <v>20000000</v>
      </c>
      <c r="J299" s="68">
        <f>K299+L299</f>
        <v>70749479</v>
      </c>
      <c r="K299" s="67">
        <v>50749479</v>
      </c>
      <c r="L299" s="67">
        <v>20000000</v>
      </c>
      <c r="M299" s="68">
        <v>436245986</v>
      </c>
      <c r="N299" s="68">
        <f>O299+P299</f>
        <v>0</v>
      </c>
      <c r="O299" s="68">
        <v>0</v>
      </c>
      <c r="P299" s="68">
        <v>0</v>
      </c>
      <c r="Q299" s="68">
        <v>0</v>
      </c>
    </row>
    <row r="300" spans="1:17" ht="28" customHeight="1" x14ac:dyDescent="0.35">
      <c r="A300" s="250" t="s">
        <v>293</v>
      </c>
      <c r="B300" s="251" t="s">
        <v>294</v>
      </c>
      <c r="C300" s="56">
        <f>C301</f>
        <v>0</v>
      </c>
      <c r="D300" s="57">
        <f>D301</f>
        <v>0</v>
      </c>
      <c r="E300" s="58">
        <f>E301</f>
        <v>25000000</v>
      </c>
      <c r="F300" s="59" t="s">
        <v>295</v>
      </c>
      <c r="G300" s="58">
        <f t="shared" si="149"/>
        <v>839743184</v>
      </c>
      <c r="H300" s="58">
        <f t="shared" si="150"/>
        <v>70401000</v>
      </c>
      <c r="I300" s="58">
        <f t="shared" si="150"/>
        <v>0</v>
      </c>
      <c r="J300" s="58">
        <f>J301</f>
        <v>70401000</v>
      </c>
      <c r="K300" s="58">
        <f t="shared" ref="K300:Q300" si="154">K301</f>
        <v>70401000</v>
      </c>
      <c r="L300" s="58">
        <f t="shared" si="154"/>
        <v>0</v>
      </c>
      <c r="M300" s="58">
        <f t="shared" si="154"/>
        <v>769342184</v>
      </c>
      <c r="N300" s="58">
        <f t="shared" si="154"/>
        <v>0</v>
      </c>
      <c r="O300" s="58">
        <f t="shared" si="154"/>
        <v>0</v>
      </c>
      <c r="P300" s="58">
        <f t="shared" si="154"/>
        <v>0</v>
      </c>
      <c r="Q300" s="58">
        <f t="shared" si="154"/>
        <v>0</v>
      </c>
    </row>
    <row r="301" spans="1:17" ht="28" customHeight="1" x14ac:dyDescent="0.35">
      <c r="A301" s="250"/>
      <c r="B301" s="251"/>
      <c r="C301" s="60">
        <v>0</v>
      </c>
      <c r="D301" s="60">
        <v>0</v>
      </c>
      <c r="E301" s="72">
        <f>G303</f>
        <v>25000000</v>
      </c>
      <c r="F301" s="61" t="s">
        <v>115</v>
      </c>
      <c r="G301" s="77">
        <f t="shared" si="149"/>
        <v>839743184</v>
      </c>
      <c r="H301" s="77">
        <f t="shared" si="150"/>
        <v>70401000</v>
      </c>
      <c r="I301" s="77">
        <f t="shared" si="150"/>
        <v>0</v>
      </c>
      <c r="J301" s="77">
        <f>J302+J303</f>
        <v>70401000</v>
      </c>
      <c r="K301" s="77">
        <f t="shared" ref="K301:Q301" si="155">K302+K303</f>
        <v>70401000</v>
      </c>
      <c r="L301" s="77">
        <f t="shared" si="155"/>
        <v>0</v>
      </c>
      <c r="M301" s="77">
        <f t="shared" si="155"/>
        <v>769342184</v>
      </c>
      <c r="N301" s="77">
        <f t="shared" si="155"/>
        <v>0</v>
      </c>
      <c r="O301" s="77">
        <f t="shared" si="155"/>
        <v>0</v>
      </c>
      <c r="P301" s="77">
        <f t="shared" si="155"/>
        <v>0</v>
      </c>
      <c r="Q301" s="77">
        <f t="shared" si="155"/>
        <v>0</v>
      </c>
    </row>
    <row r="302" spans="1:17" ht="28" customHeight="1" x14ac:dyDescent="0.35">
      <c r="A302" s="250"/>
      <c r="B302" s="251"/>
      <c r="C302" s="90"/>
      <c r="D302" s="73"/>
      <c r="E302" s="19"/>
      <c r="F302" s="66" t="s">
        <v>116</v>
      </c>
      <c r="G302" s="68">
        <f t="shared" si="149"/>
        <v>814743184</v>
      </c>
      <c r="H302" s="68">
        <f t="shared" si="150"/>
        <v>70401000</v>
      </c>
      <c r="I302" s="68">
        <f t="shared" si="150"/>
        <v>0</v>
      </c>
      <c r="J302" s="68">
        <f>K302+L302</f>
        <v>70401000</v>
      </c>
      <c r="K302" s="67">
        <v>70401000</v>
      </c>
      <c r="L302" s="67">
        <v>0</v>
      </c>
      <c r="M302" s="68">
        <v>744342184</v>
      </c>
      <c r="N302" s="68">
        <f>O302+P302</f>
        <v>0</v>
      </c>
      <c r="O302" s="68">
        <v>0</v>
      </c>
      <c r="P302" s="68">
        <v>0</v>
      </c>
      <c r="Q302" s="68">
        <v>0</v>
      </c>
    </row>
    <row r="303" spans="1:17" ht="28" customHeight="1" x14ac:dyDescent="0.35">
      <c r="A303" s="250"/>
      <c r="B303" s="251"/>
      <c r="C303" s="90"/>
      <c r="D303" s="73"/>
      <c r="E303" s="19"/>
      <c r="F303" s="66" t="s">
        <v>117</v>
      </c>
      <c r="G303" s="74">
        <f t="shared" si="149"/>
        <v>25000000</v>
      </c>
      <c r="H303" s="74">
        <f t="shared" si="150"/>
        <v>0</v>
      </c>
      <c r="I303" s="74">
        <f t="shared" si="150"/>
        <v>0</v>
      </c>
      <c r="J303" s="74">
        <f>K303+L303</f>
        <v>0</v>
      </c>
      <c r="K303" s="74">
        <v>0</v>
      </c>
      <c r="L303" s="74">
        <v>0</v>
      </c>
      <c r="M303" s="74">
        <v>25000000</v>
      </c>
      <c r="N303" s="74">
        <f>O303+P303</f>
        <v>0</v>
      </c>
      <c r="O303" s="74">
        <v>0</v>
      </c>
      <c r="P303" s="74">
        <v>0</v>
      </c>
      <c r="Q303" s="74">
        <v>0</v>
      </c>
    </row>
    <row r="304" spans="1:17" ht="28" customHeight="1" x14ac:dyDescent="0.35">
      <c r="A304" s="256" t="s">
        <v>296</v>
      </c>
      <c r="B304" s="253" t="s">
        <v>297</v>
      </c>
      <c r="C304" s="56">
        <f>C305</f>
        <v>0</v>
      </c>
      <c r="D304" s="57">
        <f>D305</f>
        <v>0</v>
      </c>
      <c r="E304" s="58">
        <f>E305</f>
        <v>0</v>
      </c>
      <c r="F304" s="59" t="s">
        <v>298</v>
      </c>
      <c r="G304" s="58">
        <f t="shared" si="149"/>
        <v>5000000</v>
      </c>
      <c r="H304" s="58">
        <f t="shared" si="150"/>
        <v>0</v>
      </c>
      <c r="I304" s="58">
        <f t="shared" si="150"/>
        <v>0</v>
      </c>
      <c r="J304" s="58">
        <f>J305</f>
        <v>0</v>
      </c>
      <c r="K304" s="58">
        <f t="shared" ref="K304:Q305" si="156">K305</f>
        <v>0</v>
      </c>
      <c r="L304" s="58">
        <f t="shared" si="156"/>
        <v>0</v>
      </c>
      <c r="M304" s="58">
        <f t="shared" si="156"/>
        <v>5000000</v>
      </c>
      <c r="N304" s="58">
        <f t="shared" si="156"/>
        <v>0</v>
      </c>
      <c r="O304" s="58">
        <f t="shared" si="156"/>
        <v>0</v>
      </c>
      <c r="P304" s="58">
        <f t="shared" si="156"/>
        <v>0</v>
      </c>
      <c r="Q304" s="58">
        <f t="shared" si="156"/>
        <v>0</v>
      </c>
    </row>
    <row r="305" spans="1:17" ht="28" customHeight="1" x14ac:dyDescent="0.35">
      <c r="A305" s="257"/>
      <c r="B305" s="254"/>
      <c r="C305" s="60">
        <v>0</v>
      </c>
      <c r="D305" s="60">
        <v>0</v>
      </c>
      <c r="E305" s="60">
        <v>0</v>
      </c>
      <c r="F305" s="61" t="s">
        <v>115</v>
      </c>
      <c r="G305" s="77">
        <f t="shared" si="149"/>
        <v>5000000</v>
      </c>
      <c r="H305" s="77">
        <f t="shared" si="150"/>
        <v>0</v>
      </c>
      <c r="I305" s="77">
        <f t="shared" si="150"/>
        <v>0</v>
      </c>
      <c r="J305" s="77">
        <f>J306</f>
        <v>0</v>
      </c>
      <c r="K305" s="77">
        <f t="shared" si="156"/>
        <v>0</v>
      </c>
      <c r="L305" s="77">
        <f t="shared" si="156"/>
        <v>0</v>
      </c>
      <c r="M305" s="77">
        <f t="shared" si="156"/>
        <v>5000000</v>
      </c>
      <c r="N305" s="77">
        <f t="shared" si="156"/>
        <v>0</v>
      </c>
      <c r="O305" s="77">
        <f t="shared" si="156"/>
        <v>0</v>
      </c>
      <c r="P305" s="77">
        <f t="shared" si="156"/>
        <v>0</v>
      </c>
      <c r="Q305" s="77">
        <f t="shared" si="156"/>
        <v>0</v>
      </c>
    </row>
    <row r="306" spans="1:17" ht="28" customHeight="1" x14ac:dyDescent="0.35">
      <c r="A306" s="257"/>
      <c r="B306" s="254"/>
      <c r="C306" s="90"/>
      <c r="D306" s="73"/>
      <c r="E306" s="73"/>
      <c r="F306" s="66" t="s">
        <v>116</v>
      </c>
      <c r="G306" s="68">
        <f t="shared" si="149"/>
        <v>5000000</v>
      </c>
      <c r="H306" s="68">
        <f t="shared" si="150"/>
        <v>0</v>
      </c>
      <c r="I306" s="68">
        <f t="shared" si="150"/>
        <v>0</v>
      </c>
      <c r="J306" s="68">
        <f>K306+L306</f>
        <v>0</v>
      </c>
      <c r="K306" s="67">
        <v>0</v>
      </c>
      <c r="L306" s="67">
        <v>0</v>
      </c>
      <c r="M306" s="68">
        <v>5000000</v>
      </c>
      <c r="N306" s="68">
        <f>O306+P306</f>
        <v>0</v>
      </c>
      <c r="O306" s="68">
        <v>0</v>
      </c>
      <c r="P306" s="68">
        <v>0</v>
      </c>
      <c r="Q306" s="68">
        <v>0</v>
      </c>
    </row>
    <row r="307" spans="1:17" ht="28" customHeight="1" x14ac:dyDescent="0.35">
      <c r="A307" s="258"/>
      <c r="B307" s="255"/>
      <c r="C307" s="90"/>
      <c r="D307" s="73"/>
      <c r="E307" s="73"/>
      <c r="F307" s="66" t="s">
        <v>117</v>
      </c>
      <c r="G307" s="74">
        <f t="shared" ref="G307" si="157">J307+M307+N307+Q307</f>
        <v>0</v>
      </c>
      <c r="H307" s="74">
        <f t="shared" ref="H307" si="158">K307+O307</f>
        <v>0</v>
      </c>
      <c r="I307" s="74">
        <f t="shared" ref="I307" si="159">L307+P307</f>
        <v>0</v>
      </c>
      <c r="J307" s="74">
        <f>K307+L307</f>
        <v>0</v>
      </c>
      <c r="K307" s="74">
        <v>0</v>
      </c>
      <c r="L307" s="74">
        <v>0</v>
      </c>
      <c r="M307" s="74">
        <v>0</v>
      </c>
      <c r="N307" s="74">
        <f>O307+P307</f>
        <v>0</v>
      </c>
      <c r="O307" s="74">
        <v>0</v>
      </c>
      <c r="P307" s="74">
        <v>0</v>
      </c>
      <c r="Q307" s="74">
        <v>0</v>
      </c>
    </row>
    <row r="308" spans="1:17" ht="52" x14ac:dyDescent="0.35">
      <c r="A308" s="87" t="s">
        <v>299</v>
      </c>
      <c r="B308" s="88" t="s">
        <v>300</v>
      </c>
      <c r="C308" s="52">
        <f>C309+C312+C316+C323</f>
        <v>190116773</v>
      </c>
      <c r="D308" s="52">
        <f>D309+D312+D316+D323</f>
        <v>30500000</v>
      </c>
      <c r="E308" s="53">
        <f>E309+E312+E316+E323</f>
        <v>25000000</v>
      </c>
      <c r="F308" s="54" t="s">
        <v>301</v>
      </c>
      <c r="G308" s="52">
        <f t="shared" si="149"/>
        <v>671476397</v>
      </c>
      <c r="H308" s="52">
        <f t="shared" si="150"/>
        <v>666267915</v>
      </c>
      <c r="I308" s="52">
        <f t="shared" si="150"/>
        <v>5208482</v>
      </c>
      <c r="J308" s="52">
        <f>J309+J312+J316+J323</f>
        <v>671476397</v>
      </c>
      <c r="K308" s="52">
        <f t="shared" ref="K308:Q308" si="160">K309+K312+K316+K323</f>
        <v>666267915</v>
      </c>
      <c r="L308" s="52">
        <f t="shared" si="160"/>
        <v>5208482</v>
      </c>
      <c r="M308" s="52">
        <f t="shared" si="160"/>
        <v>0</v>
      </c>
      <c r="N308" s="52">
        <f t="shared" si="160"/>
        <v>0</v>
      </c>
      <c r="O308" s="52">
        <f t="shared" si="160"/>
        <v>0</v>
      </c>
      <c r="P308" s="52">
        <f t="shared" si="160"/>
        <v>0</v>
      </c>
      <c r="Q308" s="52">
        <f t="shared" si="160"/>
        <v>0</v>
      </c>
    </row>
    <row r="309" spans="1:17" ht="75.650000000000006" customHeight="1" x14ac:dyDescent="0.35">
      <c r="A309" s="252" t="s">
        <v>302</v>
      </c>
      <c r="B309" s="251" t="s">
        <v>303</v>
      </c>
      <c r="C309" s="56">
        <f>C310</f>
        <v>0</v>
      </c>
      <c r="D309" s="57">
        <f>D310</f>
        <v>0</v>
      </c>
      <c r="E309" s="58">
        <f>E310</f>
        <v>0</v>
      </c>
      <c r="F309" s="59" t="s">
        <v>304</v>
      </c>
      <c r="G309" s="58">
        <f t="shared" si="149"/>
        <v>179250521</v>
      </c>
      <c r="H309" s="58">
        <f t="shared" si="150"/>
        <v>179250521</v>
      </c>
      <c r="I309" s="58">
        <f t="shared" si="150"/>
        <v>0</v>
      </c>
      <c r="J309" s="58">
        <f>J310</f>
        <v>179250521</v>
      </c>
      <c r="K309" s="58">
        <f t="shared" ref="K309:Q310" si="161">K310</f>
        <v>179250521</v>
      </c>
      <c r="L309" s="58">
        <f t="shared" si="161"/>
        <v>0</v>
      </c>
      <c r="M309" s="58">
        <f t="shared" si="161"/>
        <v>0</v>
      </c>
      <c r="N309" s="58">
        <f t="shared" si="161"/>
        <v>0</v>
      </c>
      <c r="O309" s="58">
        <f t="shared" si="161"/>
        <v>0</v>
      </c>
      <c r="P309" s="58">
        <f t="shared" si="161"/>
        <v>0</v>
      </c>
      <c r="Q309" s="58">
        <f t="shared" si="161"/>
        <v>0</v>
      </c>
    </row>
    <row r="310" spans="1:17" ht="28" customHeight="1" x14ac:dyDescent="0.35">
      <c r="A310" s="252"/>
      <c r="B310" s="251"/>
      <c r="C310" s="60">
        <v>0</v>
      </c>
      <c r="D310" s="60">
        <v>0</v>
      </c>
      <c r="E310" s="60">
        <v>0</v>
      </c>
      <c r="F310" s="61" t="s">
        <v>115</v>
      </c>
      <c r="G310" s="77">
        <f t="shared" si="149"/>
        <v>179250521</v>
      </c>
      <c r="H310" s="77">
        <f t="shared" si="150"/>
        <v>179250521</v>
      </c>
      <c r="I310" s="77">
        <f t="shared" si="150"/>
        <v>0</v>
      </c>
      <c r="J310" s="77">
        <f>J311</f>
        <v>179250521</v>
      </c>
      <c r="K310" s="77">
        <f t="shared" si="161"/>
        <v>179250521</v>
      </c>
      <c r="L310" s="77">
        <f t="shared" si="161"/>
        <v>0</v>
      </c>
      <c r="M310" s="77">
        <f t="shared" si="161"/>
        <v>0</v>
      </c>
      <c r="N310" s="77">
        <f t="shared" si="161"/>
        <v>0</v>
      </c>
      <c r="O310" s="77">
        <f t="shared" si="161"/>
        <v>0</v>
      </c>
      <c r="P310" s="77">
        <f t="shared" si="161"/>
        <v>0</v>
      </c>
      <c r="Q310" s="77">
        <f t="shared" si="161"/>
        <v>0</v>
      </c>
    </row>
    <row r="311" spans="1:17" ht="28" customHeight="1" x14ac:dyDescent="0.35">
      <c r="A311" s="252"/>
      <c r="B311" s="251"/>
      <c r="C311" s="90"/>
      <c r="D311" s="73"/>
      <c r="E311" s="73"/>
      <c r="F311" s="66" t="s">
        <v>116</v>
      </c>
      <c r="G311" s="67">
        <f t="shared" si="149"/>
        <v>179250521</v>
      </c>
      <c r="H311" s="67">
        <f t="shared" si="150"/>
        <v>179250521</v>
      </c>
      <c r="I311" s="67">
        <f t="shared" si="150"/>
        <v>0</v>
      </c>
      <c r="J311" s="67">
        <f>K311+L311</f>
        <v>179250521</v>
      </c>
      <c r="K311" s="67">
        <v>179250521</v>
      </c>
      <c r="L311" s="67">
        <v>0</v>
      </c>
      <c r="M311" s="67">
        <v>0</v>
      </c>
      <c r="N311" s="67">
        <f>O311+P311</f>
        <v>0</v>
      </c>
      <c r="O311" s="67">
        <v>0</v>
      </c>
      <c r="P311" s="67">
        <v>0</v>
      </c>
      <c r="Q311" s="68">
        <v>0</v>
      </c>
    </row>
    <row r="312" spans="1:17" ht="28" customHeight="1" x14ac:dyDescent="0.35">
      <c r="A312" s="250" t="s">
        <v>305</v>
      </c>
      <c r="B312" s="251" t="s">
        <v>306</v>
      </c>
      <c r="C312" s="56">
        <f>C313</f>
        <v>0</v>
      </c>
      <c r="D312" s="57">
        <f>D313</f>
        <v>0</v>
      </c>
      <c r="E312" s="58">
        <f>E313</f>
        <v>25000000</v>
      </c>
      <c r="F312" s="59" t="s">
        <v>307</v>
      </c>
      <c r="G312" s="58">
        <f t="shared" si="149"/>
        <v>240642000</v>
      </c>
      <c r="H312" s="58">
        <f t="shared" ref="H312:I327" si="162">K312+O312</f>
        <v>240642000</v>
      </c>
      <c r="I312" s="58">
        <f t="shared" si="162"/>
        <v>0</v>
      </c>
      <c r="J312" s="58">
        <f>J313</f>
        <v>240642000</v>
      </c>
      <c r="K312" s="58">
        <f t="shared" ref="K312:Q312" si="163">K313</f>
        <v>240642000</v>
      </c>
      <c r="L312" s="58">
        <f t="shared" si="163"/>
        <v>0</v>
      </c>
      <c r="M312" s="58">
        <f t="shared" si="163"/>
        <v>0</v>
      </c>
      <c r="N312" s="58">
        <f t="shared" si="163"/>
        <v>0</v>
      </c>
      <c r="O312" s="58">
        <f t="shared" si="163"/>
        <v>0</v>
      </c>
      <c r="P312" s="58">
        <f t="shared" si="163"/>
        <v>0</v>
      </c>
      <c r="Q312" s="58">
        <f t="shared" si="163"/>
        <v>0</v>
      </c>
    </row>
    <row r="313" spans="1:17" ht="28" customHeight="1" x14ac:dyDescent="0.35">
      <c r="A313" s="250"/>
      <c r="B313" s="251"/>
      <c r="C313" s="60">
        <v>0</v>
      </c>
      <c r="D313" s="60">
        <v>0</v>
      </c>
      <c r="E313" s="72">
        <f>G315</f>
        <v>25000000</v>
      </c>
      <c r="F313" s="61" t="s">
        <v>115</v>
      </c>
      <c r="G313" s="77">
        <f t="shared" si="149"/>
        <v>240642000</v>
      </c>
      <c r="H313" s="77">
        <f t="shared" si="162"/>
        <v>240642000</v>
      </c>
      <c r="I313" s="77">
        <f t="shared" si="162"/>
        <v>0</v>
      </c>
      <c r="J313" s="77">
        <f>J314+J315</f>
        <v>240642000</v>
      </c>
      <c r="K313" s="77">
        <f t="shared" ref="K313:Q313" si="164">K314+K315</f>
        <v>240642000</v>
      </c>
      <c r="L313" s="77">
        <f t="shared" si="164"/>
        <v>0</v>
      </c>
      <c r="M313" s="77">
        <f t="shared" si="164"/>
        <v>0</v>
      </c>
      <c r="N313" s="77">
        <f t="shared" si="164"/>
        <v>0</v>
      </c>
      <c r="O313" s="77">
        <f t="shared" si="164"/>
        <v>0</v>
      </c>
      <c r="P313" s="77">
        <f t="shared" si="164"/>
        <v>0</v>
      </c>
      <c r="Q313" s="77">
        <f t="shared" si="164"/>
        <v>0</v>
      </c>
    </row>
    <row r="314" spans="1:17" ht="28" customHeight="1" x14ac:dyDescent="0.35">
      <c r="A314" s="250"/>
      <c r="B314" s="251"/>
      <c r="C314" s="90"/>
      <c r="D314" s="73"/>
      <c r="E314" s="19"/>
      <c r="F314" s="66" t="s">
        <v>116</v>
      </c>
      <c r="G314" s="67">
        <f t="shared" si="149"/>
        <v>215642000</v>
      </c>
      <c r="H314" s="67">
        <f t="shared" si="162"/>
        <v>215642000</v>
      </c>
      <c r="I314" s="67">
        <f t="shared" si="162"/>
        <v>0</v>
      </c>
      <c r="J314" s="67">
        <f>K314+L314</f>
        <v>215642000</v>
      </c>
      <c r="K314" s="67">
        <v>215642000</v>
      </c>
      <c r="L314" s="67">
        <v>0</v>
      </c>
      <c r="M314" s="67">
        <v>0</v>
      </c>
      <c r="N314" s="67">
        <f>O314+P314</f>
        <v>0</v>
      </c>
      <c r="O314" s="67">
        <v>0</v>
      </c>
      <c r="P314" s="67">
        <v>0</v>
      </c>
      <c r="Q314" s="68">
        <v>0</v>
      </c>
    </row>
    <row r="315" spans="1:17" ht="28" customHeight="1" x14ac:dyDescent="0.35">
      <c r="A315" s="250"/>
      <c r="B315" s="251"/>
      <c r="C315" s="90"/>
      <c r="D315" s="73"/>
      <c r="E315" s="19"/>
      <c r="F315" s="66" t="s">
        <v>117</v>
      </c>
      <c r="G315" s="74">
        <f t="shared" si="149"/>
        <v>25000000</v>
      </c>
      <c r="H315" s="74">
        <f t="shared" si="162"/>
        <v>25000000</v>
      </c>
      <c r="I315" s="74">
        <f t="shared" si="162"/>
        <v>0</v>
      </c>
      <c r="J315" s="74">
        <f>K315+L315</f>
        <v>25000000</v>
      </c>
      <c r="K315" s="74">
        <v>25000000</v>
      </c>
      <c r="L315" s="74">
        <v>0</v>
      </c>
      <c r="M315" s="74">
        <v>0</v>
      </c>
      <c r="N315" s="74">
        <f>O315+P315</f>
        <v>0</v>
      </c>
      <c r="O315" s="74">
        <v>0</v>
      </c>
      <c r="P315" s="74">
        <v>0</v>
      </c>
      <c r="Q315" s="74">
        <v>0</v>
      </c>
    </row>
    <row r="316" spans="1:17" ht="28" customHeight="1" x14ac:dyDescent="0.35">
      <c r="A316" s="250" t="s">
        <v>308</v>
      </c>
      <c r="B316" s="251" t="s">
        <v>309</v>
      </c>
      <c r="C316" s="57">
        <f>C317+C321</f>
        <v>124024823</v>
      </c>
      <c r="D316" s="57">
        <f>D317+D321</f>
        <v>0</v>
      </c>
      <c r="E316" s="57">
        <f>E317+E321</f>
        <v>0</v>
      </c>
      <c r="F316" s="59" t="s">
        <v>310</v>
      </c>
      <c r="G316" s="58">
        <f>J316+M316+N316+Q316</f>
        <v>154991926</v>
      </c>
      <c r="H316" s="58">
        <f t="shared" si="162"/>
        <v>149783444</v>
      </c>
      <c r="I316" s="58">
        <f t="shared" si="162"/>
        <v>5208482</v>
      </c>
      <c r="J316" s="58">
        <f>J317+J321</f>
        <v>154991926</v>
      </c>
      <c r="K316" s="58">
        <f t="shared" ref="K316:Q316" si="165">K317+K321</f>
        <v>149783444</v>
      </c>
      <c r="L316" s="58">
        <f t="shared" si="165"/>
        <v>5208482</v>
      </c>
      <c r="M316" s="58">
        <f t="shared" si="165"/>
        <v>0</v>
      </c>
      <c r="N316" s="58">
        <f t="shared" si="165"/>
        <v>0</v>
      </c>
      <c r="O316" s="58">
        <f t="shared" si="165"/>
        <v>0</v>
      </c>
      <c r="P316" s="58">
        <f t="shared" si="165"/>
        <v>0</v>
      </c>
      <c r="Q316" s="58">
        <f t="shared" si="165"/>
        <v>0</v>
      </c>
    </row>
    <row r="317" spans="1:17" ht="28" customHeight="1" x14ac:dyDescent="0.35">
      <c r="A317" s="250"/>
      <c r="B317" s="251"/>
      <c r="C317" s="69">
        <f>G319+G320</f>
        <v>124024823</v>
      </c>
      <c r="D317" s="60">
        <v>0</v>
      </c>
      <c r="E317" s="60">
        <v>0</v>
      </c>
      <c r="F317" s="61" t="s">
        <v>36</v>
      </c>
      <c r="G317" s="60">
        <f t="shared" ref="G317:G367" si="166">J317+M317+N317+Q317</f>
        <v>154991926</v>
      </c>
      <c r="H317" s="60">
        <f t="shared" si="162"/>
        <v>149783444</v>
      </c>
      <c r="I317" s="60">
        <f t="shared" si="162"/>
        <v>5208482</v>
      </c>
      <c r="J317" s="60">
        <f>J318+J319+J320</f>
        <v>154991926</v>
      </c>
      <c r="K317" s="60">
        <f t="shared" ref="K317:Q317" si="167">K318+K319+K320</f>
        <v>149783444</v>
      </c>
      <c r="L317" s="60">
        <f t="shared" si="167"/>
        <v>5208482</v>
      </c>
      <c r="M317" s="60">
        <f t="shared" si="167"/>
        <v>0</v>
      </c>
      <c r="N317" s="60">
        <f t="shared" si="167"/>
        <v>0</v>
      </c>
      <c r="O317" s="60">
        <f t="shared" si="167"/>
        <v>0</v>
      </c>
      <c r="P317" s="60">
        <f t="shared" si="167"/>
        <v>0</v>
      </c>
      <c r="Q317" s="60">
        <f t="shared" si="167"/>
        <v>0</v>
      </c>
    </row>
    <row r="318" spans="1:17" ht="28" customHeight="1" x14ac:dyDescent="0.35">
      <c r="A318" s="250"/>
      <c r="B318" s="251"/>
      <c r="C318" s="78"/>
      <c r="D318" s="73"/>
      <c r="E318" s="73"/>
      <c r="F318" s="66" t="s">
        <v>37</v>
      </c>
      <c r="G318" s="67">
        <f t="shared" si="166"/>
        <v>30967103</v>
      </c>
      <c r="H318" s="67">
        <f t="shared" si="162"/>
        <v>30967103</v>
      </c>
      <c r="I318" s="67">
        <f t="shared" si="162"/>
        <v>0</v>
      </c>
      <c r="J318" s="67">
        <f>K318+L318</f>
        <v>30967103</v>
      </c>
      <c r="K318" s="67">
        <v>30967103</v>
      </c>
      <c r="L318" s="67">
        <v>0</v>
      </c>
      <c r="M318" s="67">
        <v>0</v>
      </c>
      <c r="N318" s="67">
        <f>O318+P318</f>
        <v>0</v>
      </c>
      <c r="O318" s="67">
        <v>0</v>
      </c>
      <c r="P318" s="67">
        <v>0</v>
      </c>
      <c r="Q318" s="67">
        <v>0</v>
      </c>
    </row>
    <row r="319" spans="1:17" ht="28" customHeight="1" x14ac:dyDescent="0.35">
      <c r="A319" s="250"/>
      <c r="B319" s="251"/>
      <c r="C319" s="78"/>
      <c r="D319" s="73"/>
      <c r="E319" s="73"/>
      <c r="F319" s="66" t="s">
        <v>38</v>
      </c>
      <c r="G319" s="71">
        <f t="shared" si="166"/>
        <v>111262626</v>
      </c>
      <c r="H319" s="71">
        <f t="shared" si="162"/>
        <v>106054144</v>
      </c>
      <c r="I319" s="71">
        <f t="shared" si="162"/>
        <v>5208482</v>
      </c>
      <c r="J319" s="71">
        <f>K319+L319</f>
        <v>111262626</v>
      </c>
      <c r="K319" s="71">
        <f>100029321+1224823+800000+4000000</f>
        <v>106054144</v>
      </c>
      <c r="L319" s="71">
        <v>5208482</v>
      </c>
      <c r="M319" s="71">
        <v>0</v>
      </c>
      <c r="N319" s="71">
        <f>O319+P319</f>
        <v>0</v>
      </c>
      <c r="O319" s="71">
        <v>0</v>
      </c>
      <c r="P319" s="71">
        <v>0</v>
      </c>
      <c r="Q319" s="71">
        <v>0</v>
      </c>
    </row>
    <row r="320" spans="1:17" ht="28" customHeight="1" x14ac:dyDescent="0.35">
      <c r="A320" s="250"/>
      <c r="B320" s="251"/>
      <c r="C320" s="78"/>
      <c r="D320" s="73"/>
      <c r="E320" s="73"/>
      <c r="F320" s="66" t="s">
        <v>39</v>
      </c>
      <c r="G320" s="71">
        <f t="shared" si="166"/>
        <v>12762197</v>
      </c>
      <c r="H320" s="71">
        <f t="shared" si="162"/>
        <v>12762197</v>
      </c>
      <c r="I320" s="71">
        <f t="shared" si="162"/>
        <v>0</v>
      </c>
      <c r="J320" s="71">
        <f>K320+L320</f>
        <v>12762197</v>
      </c>
      <c r="K320" s="71">
        <v>12762197</v>
      </c>
      <c r="L320" s="71">
        <v>0</v>
      </c>
      <c r="M320" s="71">
        <v>0</v>
      </c>
      <c r="N320" s="71">
        <f>O320+P320</f>
        <v>0</v>
      </c>
      <c r="O320" s="71">
        <v>0</v>
      </c>
      <c r="P320" s="71">
        <v>0</v>
      </c>
      <c r="Q320" s="71">
        <v>0</v>
      </c>
    </row>
    <row r="321" spans="1:21" ht="28" customHeight="1" x14ac:dyDescent="0.35">
      <c r="A321" s="250"/>
      <c r="B321" s="251"/>
      <c r="C321" s="60">
        <v>0</v>
      </c>
      <c r="D321" s="102">
        <f>G322</f>
        <v>0</v>
      </c>
      <c r="E321" s="60">
        <v>0</v>
      </c>
      <c r="F321" s="61" t="s">
        <v>186</v>
      </c>
      <c r="G321" s="77">
        <f t="shared" si="166"/>
        <v>0</v>
      </c>
      <c r="H321" s="77">
        <f t="shared" si="162"/>
        <v>0</v>
      </c>
      <c r="I321" s="77">
        <f t="shared" si="162"/>
        <v>0</v>
      </c>
      <c r="J321" s="77">
        <f>J322</f>
        <v>0</v>
      </c>
      <c r="K321" s="60">
        <f t="shared" ref="K321:Q321" si="168">K322</f>
        <v>0</v>
      </c>
      <c r="L321" s="60">
        <f t="shared" si="168"/>
        <v>0</v>
      </c>
      <c r="M321" s="60">
        <f t="shared" si="168"/>
        <v>0</v>
      </c>
      <c r="N321" s="77">
        <f t="shared" si="168"/>
        <v>0</v>
      </c>
      <c r="O321" s="77">
        <f t="shared" si="168"/>
        <v>0</v>
      </c>
      <c r="P321" s="77">
        <f t="shared" si="168"/>
        <v>0</v>
      </c>
      <c r="Q321" s="60">
        <f t="shared" si="168"/>
        <v>0</v>
      </c>
    </row>
    <row r="322" spans="1:21" ht="28" customHeight="1" x14ac:dyDescent="0.35">
      <c r="A322" s="250"/>
      <c r="B322" s="251"/>
      <c r="C322" s="78"/>
      <c r="D322" s="78"/>
      <c r="E322" s="73"/>
      <c r="F322" s="66" t="s">
        <v>187</v>
      </c>
      <c r="G322" s="103">
        <f t="shared" si="166"/>
        <v>0</v>
      </c>
      <c r="H322" s="103">
        <f t="shared" si="162"/>
        <v>0</v>
      </c>
      <c r="I322" s="103">
        <f t="shared" si="162"/>
        <v>0</v>
      </c>
      <c r="J322" s="103">
        <f>K322+L322</f>
        <v>0</v>
      </c>
      <c r="K322" s="103">
        <v>0</v>
      </c>
      <c r="L322" s="103">
        <v>0</v>
      </c>
      <c r="M322" s="103">
        <v>0</v>
      </c>
      <c r="N322" s="103">
        <f>O322+P322</f>
        <v>0</v>
      </c>
      <c r="O322" s="103">
        <v>0</v>
      </c>
      <c r="P322" s="103">
        <v>0</v>
      </c>
      <c r="Q322" s="103">
        <v>0</v>
      </c>
    </row>
    <row r="323" spans="1:21" ht="28" customHeight="1" x14ac:dyDescent="0.35">
      <c r="A323" s="250" t="s">
        <v>311</v>
      </c>
      <c r="B323" s="251" t="s">
        <v>312</v>
      </c>
      <c r="C323" s="57">
        <f>C324+C328</f>
        <v>66091950</v>
      </c>
      <c r="D323" s="57">
        <f>D324+D328</f>
        <v>30500000</v>
      </c>
      <c r="E323" s="57">
        <f>E324+E328</f>
        <v>0</v>
      </c>
      <c r="F323" s="59" t="s">
        <v>313</v>
      </c>
      <c r="G323" s="58">
        <f t="shared" si="166"/>
        <v>96591950</v>
      </c>
      <c r="H323" s="58">
        <f t="shared" si="162"/>
        <v>96591950</v>
      </c>
      <c r="I323" s="58">
        <f t="shared" si="162"/>
        <v>0</v>
      </c>
      <c r="J323" s="58">
        <f>J324+J328</f>
        <v>96591950</v>
      </c>
      <c r="K323" s="58">
        <f t="shared" ref="K323:Q323" si="169">K324+K328</f>
        <v>96591950</v>
      </c>
      <c r="L323" s="58">
        <f t="shared" si="169"/>
        <v>0</v>
      </c>
      <c r="M323" s="58">
        <f t="shared" si="169"/>
        <v>0</v>
      </c>
      <c r="N323" s="58">
        <f t="shared" si="169"/>
        <v>0</v>
      </c>
      <c r="O323" s="58">
        <f t="shared" si="169"/>
        <v>0</v>
      </c>
      <c r="P323" s="58">
        <f t="shared" si="169"/>
        <v>0</v>
      </c>
      <c r="Q323" s="58">
        <f t="shared" si="169"/>
        <v>0</v>
      </c>
    </row>
    <row r="324" spans="1:21" ht="28" customHeight="1" x14ac:dyDescent="0.35">
      <c r="A324" s="250"/>
      <c r="B324" s="251"/>
      <c r="C324" s="69">
        <f>G326+G327</f>
        <v>66091950</v>
      </c>
      <c r="D324" s="60">
        <v>0</v>
      </c>
      <c r="E324" s="60">
        <v>0</v>
      </c>
      <c r="F324" s="61" t="s">
        <v>36</v>
      </c>
      <c r="G324" s="60">
        <f t="shared" si="166"/>
        <v>66091950</v>
      </c>
      <c r="H324" s="60">
        <f t="shared" si="162"/>
        <v>66091950</v>
      </c>
      <c r="I324" s="60">
        <f t="shared" si="162"/>
        <v>0</v>
      </c>
      <c r="J324" s="60">
        <f>J325+J326+J327</f>
        <v>66091950</v>
      </c>
      <c r="K324" s="60">
        <f t="shared" ref="K324:Q324" si="170">K325+K326+K327</f>
        <v>66091950</v>
      </c>
      <c r="L324" s="60">
        <f t="shared" si="170"/>
        <v>0</v>
      </c>
      <c r="M324" s="60">
        <f t="shared" si="170"/>
        <v>0</v>
      </c>
      <c r="N324" s="60">
        <f t="shared" si="170"/>
        <v>0</v>
      </c>
      <c r="O324" s="60">
        <f t="shared" si="170"/>
        <v>0</v>
      </c>
      <c r="P324" s="60">
        <f t="shared" si="170"/>
        <v>0</v>
      </c>
      <c r="Q324" s="60">
        <f t="shared" si="170"/>
        <v>0</v>
      </c>
    </row>
    <row r="325" spans="1:21" ht="28" customHeight="1" x14ac:dyDescent="0.35">
      <c r="A325" s="250"/>
      <c r="B325" s="251"/>
      <c r="C325" s="78"/>
      <c r="D325" s="73"/>
      <c r="E325" s="73"/>
      <c r="F325" s="66" t="s">
        <v>37</v>
      </c>
      <c r="G325" s="67">
        <f t="shared" si="166"/>
        <v>0</v>
      </c>
      <c r="H325" s="67">
        <f t="shared" si="162"/>
        <v>0</v>
      </c>
      <c r="I325" s="67">
        <f t="shared" si="162"/>
        <v>0</v>
      </c>
      <c r="J325" s="67">
        <f>K325+L325</f>
        <v>0</v>
      </c>
      <c r="K325" s="67">
        <v>0</v>
      </c>
      <c r="L325" s="67">
        <v>0</v>
      </c>
      <c r="M325" s="67">
        <v>0</v>
      </c>
      <c r="N325" s="67">
        <f>O325+P325</f>
        <v>0</v>
      </c>
      <c r="O325" s="67">
        <v>0</v>
      </c>
      <c r="P325" s="67">
        <v>0</v>
      </c>
      <c r="Q325" s="67">
        <v>0</v>
      </c>
    </row>
    <row r="326" spans="1:21" ht="28" customHeight="1" x14ac:dyDescent="0.35">
      <c r="A326" s="250"/>
      <c r="B326" s="251"/>
      <c r="C326" s="78"/>
      <c r="D326" s="73"/>
      <c r="E326" s="73"/>
      <c r="F326" s="66" t="s">
        <v>38</v>
      </c>
      <c r="G326" s="71">
        <f t="shared" si="166"/>
        <v>47017894</v>
      </c>
      <c r="H326" s="71">
        <f t="shared" si="162"/>
        <v>47017894</v>
      </c>
      <c r="I326" s="71">
        <f t="shared" si="162"/>
        <v>0</v>
      </c>
      <c r="J326" s="71">
        <f>K326+L326</f>
        <v>47017894</v>
      </c>
      <c r="K326" s="71">
        <f>38256548+2504101+621333+5635912</f>
        <v>47017894</v>
      </c>
      <c r="L326" s="71">
        <v>0</v>
      </c>
      <c r="M326" s="71">
        <v>0</v>
      </c>
      <c r="N326" s="71">
        <f>O326+P326</f>
        <v>0</v>
      </c>
      <c r="O326" s="71">
        <v>0</v>
      </c>
      <c r="P326" s="71">
        <v>0</v>
      </c>
      <c r="Q326" s="71">
        <v>0</v>
      </c>
    </row>
    <row r="327" spans="1:21" ht="28" customHeight="1" x14ac:dyDescent="0.35">
      <c r="A327" s="250"/>
      <c r="B327" s="251"/>
      <c r="C327" s="78"/>
      <c r="D327" s="73"/>
      <c r="E327" s="73"/>
      <c r="F327" s="66" t="s">
        <v>39</v>
      </c>
      <c r="G327" s="71">
        <f t="shared" si="166"/>
        <v>19074056</v>
      </c>
      <c r="H327" s="71">
        <f t="shared" si="162"/>
        <v>19074056</v>
      </c>
      <c r="I327" s="71">
        <f t="shared" si="162"/>
        <v>0</v>
      </c>
      <c r="J327" s="71">
        <f>K327+L327</f>
        <v>19074056</v>
      </c>
      <c r="K327" s="71">
        <f>13772452+53277+2000000+344905+973080+190000+900000+340534+499808</f>
        <v>19074056</v>
      </c>
      <c r="L327" s="71">
        <v>0</v>
      </c>
      <c r="M327" s="71">
        <v>0</v>
      </c>
      <c r="N327" s="71">
        <f>O327+P327</f>
        <v>0</v>
      </c>
      <c r="O327" s="71">
        <v>0</v>
      </c>
      <c r="P327" s="71">
        <v>0</v>
      </c>
      <c r="Q327" s="71">
        <v>0</v>
      </c>
    </row>
    <row r="328" spans="1:21" ht="28" customHeight="1" x14ac:dyDescent="0.35">
      <c r="A328" s="250"/>
      <c r="B328" s="251"/>
      <c r="C328" s="60">
        <v>0</v>
      </c>
      <c r="D328" s="102">
        <f>G329</f>
        <v>30500000</v>
      </c>
      <c r="E328" s="60">
        <v>0</v>
      </c>
      <c r="F328" s="61" t="s">
        <v>186</v>
      </c>
      <c r="G328" s="60">
        <f t="shared" si="166"/>
        <v>30500000</v>
      </c>
      <c r="H328" s="60">
        <f t="shared" ref="H328:I343" si="171">K328+O328</f>
        <v>30500000</v>
      </c>
      <c r="I328" s="60">
        <f t="shared" si="171"/>
        <v>0</v>
      </c>
      <c r="J328" s="60">
        <f>J329</f>
        <v>30500000</v>
      </c>
      <c r="K328" s="60">
        <f t="shared" ref="K328:Q328" si="172">K329</f>
        <v>30500000</v>
      </c>
      <c r="L328" s="60">
        <f t="shared" si="172"/>
        <v>0</v>
      </c>
      <c r="M328" s="60">
        <f t="shared" si="172"/>
        <v>0</v>
      </c>
      <c r="N328" s="60">
        <f t="shared" si="172"/>
        <v>0</v>
      </c>
      <c r="O328" s="60">
        <f t="shared" si="172"/>
        <v>0</v>
      </c>
      <c r="P328" s="60">
        <f t="shared" si="172"/>
        <v>0</v>
      </c>
      <c r="Q328" s="60">
        <f t="shared" si="172"/>
        <v>0</v>
      </c>
    </row>
    <row r="329" spans="1:21" ht="28" customHeight="1" x14ac:dyDescent="0.35">
      <c r="A329" s="250"/>
      <c r="B329" s="251"/>
      <c r="C329" s="78"/>
      <c r="D329" s="78"/>
      <c r="E329" s="73"/>
      <c r="F329" s="66" t="s">
        <v>187</v>
      </c>
      <c r="G329" s="103">
        <f t="shared" si="166"/>
        <v>30500000</v>
      </c>
      <c r="H329" s="103">
        <f t="shared" si="171"/>
        <v>30500000</v>
      </c>
      <c r="I329" s="103">
        <f t="shared" si="171"/>
        <v>0</v>
      </c>
      <c r="J329" s="103">
        <f>K329+L329</f>
        <v>30500000</v>
      </c>
      <c r="K329" s="103">
        <v>30500000</v>
      </c>
      <c r="L329" s="103">
        <v>0</v>
      </c>
      <c r="M329" s="103">
        <v>0</v>
      </c>
      <c r="N329" s="103">
        <f>O329+P329</f>
        <v>0</v>
      </c>
      <c r="O329" s="103">
        <v>0</v>
      </c>
      <c r="P329" s="103">
        <v>0</v>
      </c>
      <c r="Q329" s="103">
        <v>0</v>
      </c>
    </row>
    <row r="330" spans="1:21" s="111" customFormat="1" ht="52" x14ac:dyDescent="0.35">
      <c r="A330" s="39" t="s">
        <v>314</v>
      </c>
      <c r="B330" s="40" t="s">
        <v>315</v>
      </c>
      <c r="C330" s="41">
        <f>C331+C351+C368+C379+C392+C430+C449+C439</f>
        <v>344264742</v>
      </c>
      <c r="D330" s="41">
        <f>D331+D351+D368+D379+D392+D430+D449+D439</f>
        <v>801499800</v>
      </c>
      <c r="E330" s="42">
        <f>E331+E351+E368+E379+E392+E430+E439+E449</f>
        <v>43125000</v>
      </c>
      <c r="F330" s="43"/>
      <c r="G330" s="42">
        <f t="shared" si="166"/>
        <v>3220290528</v>
      </c>
      <c r="H330" s="42">
        <f t="shared" si="171"/>
        <v>3132901317</v>
      </c>
      <c r="I330" s="42">
        <f t="shared" si="171"/>
        <v>87389211</v>
      </c>
      <c r="J330" s="42">
        <f t="shared" ref="J330:Q330" si="173">J331+J351+J368+J379+J392+J430+J439+J449</f>
        <v>948536192</v>
      </c>
      <c r="K330" s="42">
        <f t="shared" si="173"/>
        <v>911146981</v>
      </c>
      <c r="L330" s="42">
        <f t="shared" si="173"/>
        <v>37389211</v>
      </c>
      <c r="M330" s="42">
        <f t="shared" si="173"/>
        <v>0</v>
      </c>
      <c r="N330" s="42">
        <f t="shared" si="173"/>
        <v>2271754336</v>
      </c>
      <c r="O330" s="42">
        <f t="shared" si="173"/>
        <v>2221754336</v>
      </c>
      <c r="P330" s="42">
        <f t="shared" si="173"/>
        <v>50000000</v>
      </c>
      <c r="Q330" s="42">
        <f t="shared" si="173"/>
        <v>0</v>
      </c>
    </row>
    <row r="331" spans="1:21" ht="28.5" x14ac:dyDescent="0.35">
      <c r="A331" s="45" t="s">
        <v>316</v>
      </c>
      <c r="B331" s="46" t="s">
        <v>317</v>
      </c>
      <c r="C331" s="47">
        <f>C332+C336+C339+C342+C345</f>
        <v>2272380</v>
      </c>
      <c r="D331" s="47">
        <f>D332+D336+D339+D342+D345</f>
        <v>120500000</v>
      </c>
      <c r="E331" s="48">
        <f>E332+E336+E339+E342+E345</f>
        <v>23000000</v>
      </c>
      <c r="F331" s="49"/>
      <c r="G331" s="48">
        <f t="shared" si="166"/>
        <v>544769874</v>
      </c>
      <c r="H331" s="48">
        <f t="shared" si="171"/>
        <v>531627976</v>
      </c>
      <c r="I331" s="48">
        <f t="shared" si="171"/>
        <v>13141898</v>
      </c>
      <c r="J331" s="48">
        <f>J332+J336+J339+J342+J345</f>
        <v>53478830</v>
      </c>
      <c r="K331" s="48">
        <f t="shared" ref="K331:Q331" si="174">K332+K336+K339+K342+K345</f>
        <v>52615932</v>
      </c>
      <c r="L331" s="48">
        <f t="shared" si="174"/>
        <v>862898</v>
      </c>
      <c r="M331" s="48">
        <f t="shared" si="174"/>
        <v>0</v>
      </c>
      <c r="N331" s="48">
        <f t="shared" si="174"/>
        <v>491291044</v>
      </c>
      <c r="O331" s="48">
        <f t="shared" si="174"/>
        <v>479012044</v>
      </c>
      <c r="P331" s="48">
        <f t="shared" si="174"/>
        <v>12279000</v>
      </c>
      <c r="Q331" s="48">
        <f t="shared" si="174"/>
        <v>0</v>
      </c>
    </row>
    <row r="332" spans="1:21" ht="126" customHeight="1" x14ac:dyDescent="0.35">
      <c r="A332" s="241" t="s">
        <v>318</v>
      </c>
      <c r="B332" s="249" t="s">
        <v>319</v>
      </c>
      <c r="C332" s="52">
        <f>C333</f>
        <v>0</v>
      </c>
      <c r="D332" s="52">
        <f>D333</f>
        <v>120500000</v>
      </c>
      <c r="E332" s="53">
        <f>E333</f>
        <v>0</v>
      </c>
      <c r="F332" s="54" t="s">
        <v>320</v>
      </c>
      <c r="G332" s="52">
        <f t="shared" si="166"/>
        <v>397025044</v>
      </c>
      <c r="H332" s="52">
        <f t="shared" si="171"/>
        <v>390025044</v>
      </c>
      <c r="I332" s="52">
        <f t="shared" si="171"/>
        <v>7000000</v>
      </c>
      <c r="J332" s="52">
        <f>J333</f>
        <v>0</v>
      </c>
      <c r="K332" s="52">
        <f t="shared" ref="K332:Q332" si="175">K333</f>
        <v>0</v>
      </c>
      <c r="L332" s="52">
        <f t="shared" si="175"/>
        <v>0</v>
      </c>
      <c r="M332" s="52">
        <f t="shared" si="175"/>
        <v>0</v>
      </c>
      <c r="N332" s="52">
        <f t="shared" si="175"/>
        <v>397025044</v>
      </c>
      <c r="O332" s="52">
        <f t="shared" si="175"/>
        <v>390025044</v>
      </c>
      <c r="P332" s="52">
        <f t="shared" si="175"/>
        <v>7000000</v>
      </c>
      <c r="Q332" s="52">
        <f t="shared" si="175"/>
        <v>0</v>
      </c>
    </row>
    <row r="333" spans="1:21" ht="28" customHeight="1" x14ac:dyDescent="0.35">
      <c r="A333" s="241"/>
      <c r="B333" s="249"/>
      <c r="C333" s="60">
        <v>0</v>
      </c>
      <c r="D333" s="112">
        <f>G335</f>
        <v>120500000</v>
      </c>
      <c r="E333" s="60">
        <v>0</v>
      </c>
      <c r="F333" s="61" t="s">
        <v>321</v>
      </c>
      <c r="G333" s="60">
        <f t="shared" si="166"/>
        <v>397025044</v>
      </c>
      <c r="H333" s="60">
        <f t="shared" si="171"/>
        <v>390025044</v>
      </c>
      <c r="I333" s="60">
        <f t="shared" si="171"/>
        <v>7000000</v>
      </c>
      <c r="J333" s="60">
        <f>J334+J335</f>
        <v>0</v>
      </c>
      <c r="K333" s="60">
        <f t="shared" ref="K333:Q333" si="176">K334+K335</f>
        <v>0</v>
      </c>
      <c r="L333" s="60">
        <f t="shared" si="176"/>
        <v>0</v>
      </c>
      <c r="M333" s="60">
        <f t="shared" si="176"/>
        <v>0</v>
      </c>
      <c r="N333" s="60">
        <f t="shared" si="176"/>
        <v>397025044</v>
      </c>
      <c r="O333" s="60">
        <f t="shared" si="176"/>
        <v>390025044</v>
      </c>
      <c r="P333" s="60">
        <f t="shared" si="176"/>
        <v>7000000</v>
      </c>
      <c r="Q333" s="60">
        <f t="shared" si="176"/>
        <v>0</v>
      </c>
      <c r="U333" s="113"/>
    </row>
    <row r="334" spans="1:21" ht="28" customHeight="1" x14ac:dyDescent="0.35">
      <c r="A334" s="241"/>
      <c r="B334" s="249"/>
      <c r="C334" s="19"/>
      <c r="D334" s="19"/>
      <c r="E334" s="19"/>
      <c r="F334" s="66" t="s">
        <v>322</v>
      </c>
      <c r="G334" s="67">
        <f t="shared" si="166"/>
        <v>276525044</v>
      </c>
      <c r="H334" s="67">
        <f t="shared" si="171"/>
        <v>269525044</v>
      </c>
      <c r="I334" s="67">
        <f t="shared" si="171"/>
        <v>7000000</v>
      </c>
      <c r="J334" s="67">
        <f>K334+L334</f>
        <v>0</v>
      </c>
      <c r="K334" s="67">
        <v>0</v>
      </c>
      <c r="L334" s="67">
        <v>0</v>
      </c>
      <c r="M334" s="67">
        <v>0</v>
      </c>
      <c r="N334" s="67">
        <f>O334+P334</f>
        <v>276525044</v>
      </c>
      <c r="O334" s="67">
        <v>269525044</v>
      </c>
      <c r="P334" s="67">
        <v>7000000</v>
      </c>
      <c r="Q334" s="68">
        <v>0</v>
      </c>
    </row>
    <row r="335" spans="1:21" ht="28" customHeight="1" x14ac:dyDescent="0.35">
      <c r="A335" s="241"/>
      <c r="B335" s="249"/>
      <c r="C335" s="19"/>
      <c r="D335" s="19"/>
      <c r="E335" s="19"/>
      <c r="F335" s="66" t="s">
        <v>323</v>
      </c>
      <c r="G335" s="103">
        <f t="shared" si="166"/>
        <v>120500000</v>
      </c>
      <c r="H335" s="103">
        <f t="shared" si="171"/>
        <v>120500000</v>
      </c>
      <c r="I335" s="103">
        <f t="shared" si="171"/>
        <v>0</v>
      </c>
      <c r="J335" s="103">
        <f>K335+L335</f>
        <v>0</v>
      </c>
      <c r="K335" s="103">
        <v>0</v>
      </c>
      <c r="L335" s="103">
        <v>0</v>
      </c>
      <c r="M335" s="103">
        <v>0</v>
      </c>
      <c r="N335" s="103">
        <f>O335+P335</f>
        <v>120500000</v>
      </c>
      <c r="O335" s="103">
        <v>120500000</v>
      </c>
      <c r="P335" s="103">
        <v>0</v>
      </c>
      <c r="Q335" s="103">
        <v>0</v>
      </c>
    </row>
    <row r="336" spans="1:21" ht="107.5" customHeight="1" x14ac:dyDescent="0.35">
      <c r="A336" s="241" t="s">
        <v>324</v>
      </c>
      <c r="B336" s="249" t="s">
        <v>325</v>
      </c>
      <c r="C336" s="52">
        <f>C337</f>
        <v>0</v>
      </c>
      <c r="D336" s="52">
        <f>D337</f>
        <v>0</v>
      </c>
      <c r="E336" s="53">
        <f>E337</f>
        <v>0</v>
      </c>
      <c r="F336" s="54" t="s">
        <v>326</v>
      </c>
      <c r="G336" s="52">
        <f t="shared" si="166"/>
        <v>41400000</v>
      </c>
      <c r="H336" s="52">
        <f t="shared" si="171"/>
        <v>41400000</v>
      </c>
      <c r="I336" s="52">
        <f t="shared" si="171"/>
        <v>0</v>
      </c>
      <c r="J336" s="52">
        <f>J337</f>
        <v>0</v>
      </c>
      <c r="K336" s="52">
        <f t="shared" ref="K336:Q337" si="177">K337</f>
        <v>0</v>
      </c>
      <c r="L336" s="52">
        <f t="shared" si="177"/>
        <v>0</v>
      </c>
      <c r="M336" s="52">
        <f t="shared" si="177"/>
        <v>0</v>
      </c>
      <c r="N336" s="52">
        <f t="shared" si="177"/>
        <v>41400000</v>
      </c>
      <c r="O336" s="52">
        <f t="shared" si="177"/>
        <v>41400000</v>
      </c>
      <c r="P336" s="52">
        <f t="shared" si="177"/>
        <v>0</v>
      </c>
      <c r="Q336" s="52">
        <f t="shared" si="177"/>
        <v>0</v>
      </c>
    </row>
    <row r="337" spans="1:20" ht="28" customHeight="1" x14ac:dyDescent="0.35">
      <c r="A337" s="241"/>
      <c r="B337" s="249"/>
      <c r="C337" s="60">
        <v>0</v>
      </c>
      <c r="D337" s="60">
        <v>0</v>
      </c>
      <c r="E337" s="60">
        <v>0</v>
      </c>
      <c r="F337" s="61" t="s">
        <v>321</v>
      </c>
      <c r="G337" s="60">
        <f t="shared" si="166"/>
        <v>41400000</v>
      </c>
      <c r="H337" s="60">
        <f t="shared" si="171"/>
        <v>41400000</v>
      </c>
      <c r="I337" s="60">
        <f t="shared" si="171"/>
        <v>0</v>
      </c>
      <c r="J337" s="60">
        <f>J338</f>
        <v>0</v>
      </c>
      <c r="K337" s="60">
        <f t="shared" si="177"/>
        <v>0</v>
      </c>
      <c r="L337" s="60">
        <f t="shared" si="177"/>
        <v>0</v>
      </c>
      <c r="M337" s="60">
        <f t="shared" si="177"/>
        <v>0</v>
      </c>
      <c r="N337" s="60">
        <f t="shared" si="177"/>
        <v>41400000</v>
      </c>
      <c r="O337" s="60">
        <f t="shared" si="177"/>
        <v>41400000</v>
      </c>
      <c r="P337" s="60">
        <f t="shared" si="177"/>
        <v>0</v>
      </c>
      <c r="Q337" s="60">
        <f t="shared" si="177"/>
        <v>0</v>
      </c>
    </row>
    <row r="338" spans="1:20" ht="28" customHeight="1" x14ac:dyDescent="0.35">
      <c r="A338" s="241"/>
      <c r="B338" s="249"/>
      <c r="C338" s="19"/>
      <c r="D338" s="19"/>
      <c r="E338" s="19"/>
      <c r="F338" s="66" t="s">
        <v>322</v>
      </c>
      <c r="G338" s="67">
        <f t="shared" si="166"/>
        <v>41400000</v>
      </c>
      <c r="H338" s="67">
        <f t="shared" si="171"/>
        <v>41400000</v>
      </c>
      <c r="I338" s="67">
        <f t="shared" si="171"/>
        <v>0</v>
      </c>
      <c r="J338" s="67">
        <f>K338+L338</f>
        <v>0</v>
      </c>
      <c r="K338" s="67">
        <v>0</v>
      </c>
      <c r="L338" s="67">
        <v>0</v>
      </c>
      <c r="M338" s="67">
        <v>0</v>
      </c>
      <c r="N338" s="67">
        <f>O338+P338</f>
        <v>41400000</v>
      </c>
      <c r="O338" s="67">
        <v>41400000</v>
      </c>
      <c r="P338" s="67">
        <v>0</v>
      </c>
      <c r="Q338" s="68">
        <v>0</v>
      </c>
    </row>
    <row r="339" spans="1:20" ht="73.5" customHeight="1" x14ac:dyDescent="0.35">
      <c r="A339" s="241" t="s">
        <v>327</v>
      </c>
      <c r="B339" s="249" t="s">
        <v>328</v>
      </c>
      <c r="C339" s="52">
        <f>C340</f>
        <v>0</v>
      </c>
      <c r="D339" s="52">
        <f>D340</f>
        <v>0</v>
      </c>
      <c r="E339" s="53">
        <f>E340</f>
        <v>0</v>
      </c>
      <c r="F339" s="54" t="s">
        <v>329</v>
      </c>
      <c r="G339" s="52">
        <f t="shared" si="166"/>
        <v>39621000</v>
      </c>
      <c r="H339" s="52">
        <f t="shared" si="171"/>
        <v>34592000</v>
      </c>
      <c r="I339" s="52">
        <f t="shared" si="171"/>
        <v>5029000</v>
      </c>
      <c r="J339" s="52">
        <f>J340</f>
        <v>0</v>
      </c>
      <c r="K339" s="52">
        <f t="shared" ref="K339:Q340" si="178">K340</f>
        <v>0</v>
      </c>
      <c r="L339" s="52">
        <f t="shared" si="178"/>
        <v>0</v>
      </c>
      <c r="M339" s="52">
        <f t="shared" si="178"/>
        <v>0</v>
      </c>
      <c r="N339" s="52">
        <f t="shared" si="178"/>
        <v>39621000</v>
      </c>
      <c r="O339" s="52">
        <f t="shared" si="178"/>
        <v>34592000</v>
      </c>
      <c r="P339" s="52">
        <f t="shared" si="178"/>
        <v>5029000</v>
      </c>
      <c r="Q339" s="52">
        <f t="shared" si="178"/>
        <v>0</v>
      </c>
      <c r="T339" s="113"/>
    </row>
    <row r="340" spans="1:20" ht="28" customHeight="1" x14ac:dyDescent="0.35">
      <c r="A340" s="241"/>
      <c r="B340" s="249"/>
      <c r="C340" s="60">
        <v>0</v>
      </c>
      <c r="D340" s="60">
        <v>0</v>
      </c>
      <c r="E340" s="60">
        <v>0</v>
      </c>
      <c r="F340" s="61" t="s">
        <v>321</v>
      </c>
      <c r="G340" s="60">
        <f t="shared" si="166"/>
        <v>39621000</v>
      </c>
      <c r="H340" s="60">
        <f t="shared" si="171"/>
        <v>34592000</v>
      </c>
      <c r="I340" s="60">
        <f t="shared" si="171"/>
        <v>5029000</v>
      </c>
      <c r="J340" s="60">
        <f>J341</f>
        <v>0</v>
      </c>
      <c r="K340" s="60">
        <f t="shared" si="178"/>
        <v>0</v>
      </c>
      <c r="L340" s="60">
        <f t="shared" si="178"/>
        <v>0</v>
      </c>
      <c r="M340" s="60">
        <f t="shared" si="178"/>
        <v>0</v>
      </c>
      <c r="N340" s="60">
        <f t="shared" si="178"/>
        <v>39621000</v>
      </c>
      <c r="O340" s="60">
        <f t="shared" si="178"/>
        <v>34592000</v>
      </c>
      <c r="P340" s="60">
        <f t="shared" si="178"/>
        <v>5029000</v>
      </c>
      <c r="Q340" s="60">
        <f t="shared" si="178"/>
        <v>0</v>
      </c>
    </row>
    <row r="341" spans="1:20" ht="28" customHeight="1" x14ac:dyDescent="0.35">
      <c r="A341" s="241"/>
      <c r="B341" s="249"/>
      <c r="C341" s="19"/>
      <c r="D341" s="19"/>
      <c r="E341" s="19"/>
      <c r="F341" s="66" t="s">
        <v>322</v>
      </c>
      <c r="G341" s="67">
        <f t="shared" si="166"/>
        <v>39621000</v>
      </c>
      <c r="H341" s="67">
        <f t="shared" si="171"/>
        <v>34592000</v>
      </c>
      <c r="I341" s="67">
        <f t="shared" si="171"/>
        <v>5029000</v>
      </c>
      <c r="J341" s="67">
        <f>K341+L341</f>
        <v>0</v>
      </c>
      <c r="K341" s="67">
        <v>0</v>
      </c>
      <c r="L341" s="67">
        <v>0</v>
      </c>
      <c r="M341" s="67">
        <v>0</v>
      </c>
      <c r="N341" s="67">
        <f>O341+P341</f>
        <v>39621000</v>
      </c>
      <c r="O341" s="67">
        <v>34592000</v>
      </c>
      <c r="P341" s="67">
        <v>5029000</v>
      </c>
      <c r="Q341" s="68">
        <v>0</v>
      </c>
    </row>
    <row r="342" spans="1:20" ht="73.5" customHeight="1" x14ac:dyDescent="0.35">
      <c r="A342" s="241" t="s">
        <v>330</v>
      </c>
      <c r="B342" s="249" t="s">
        <v>331</v>
      </c>
      <c r="C342" s="52">
        <f>C343</f>
        <v>0</v>
      </c>
      <c r="D342" s="52">
        <f>D343</f>
        <v>0</v>
      </c>
      <c r="E342" s="53">
        <f>E343</f>
        <v>0</v>
      </c>
      <c r="F342" s="54" t="s">
        <v>332</v>
      </c>
      <c r="G342" s="52">
        <f t="shared" si="166"/>
        <v>13245000</v>
      </c>
      <c r="H342" s="52">
        <f t="shared" si="171"/>
        <v>12995000</v>
      </c>
      <c r="I342" s="52">
        <f t="shared" si="171"/>
        <v>250000</v>
      </c>
      <c r="J342" s="52">
        <f>J343</f>
        <v>0</v>
      </c>
      <c r="K342" s="52">
        <f t="shared" ref="K342:Q343" si="179">K343</f>
        <v>0</v>
      </c>
      <c r="L342" s="52">
        <f t="shared" si="179"/>
        <v>0</v>
      </c>
      <c r="M342" s="52">
        <f t="shared" si="179"/>
        <v>0</v>
      </c>
      <c r="N342" s="52">
        <f t="shared" si="179"/>
        <v>13245000</v>
      </c>
      <c r="O342" s="52">
        <f t="shared" si="179"/>
        <v>12995000</v>
      </c>
      <c r="P342" s="52">
        <f t="shared" si="179"/>
        <v>250000</v>
      </c>
      <c r="Q342" s="52">
        <f t="shared" si="179"/>
        <v>0</v>
      </c>
    </row>
    <row r="343" spans="1:20" ht="28" customHeight="1" x14ac:dyDescent="0.35">
      <c r="A343" s="241"/>
      <c r="B343" s="249"/>
      <c r="C343" s="60">
        <v>0</v>
      </c>
      <c r="D343" s="60">
        <v>0</v>
      </c>
      <c r="E343" s="60">
        <v>0</v>
      </c>
      <c r="F343" s="61" t="s">
        <v>321</v>
      </c>
      <c r="G343" s="60">
        <f t="shared" si="166"/>
        <v>13245000</v>
      </c>
      <c r="H343" s="60">
        <f t="shared" si="171"/>
        <v>12995000</v>
      </c>
      <c r="I343" s="60">
        <f t="shared" si="171"/>
        <v>250000</v>
      </c>
      <c r="J343" s="60">
        <f>J344</f>
        <v>0</v>
      </c>
      <c r="K343" s="60">
        <f t="shared" si="179"/>
        <v>0</v>
      </c>
      <c r="L343" s="60">
        <f t="shared" si="179"/>
        <v>0</v>
      </c>
      <c r="M343" s="60">
        <f t="shared" si="179"/>
        <v>0</v>
      </c>
      <c r="N343" s="60">
        <f t="shared" si="179"/>
        <v>13245000</v>
      </c>
      <c r="O343" s="60">
        <f t="shared" si="179"/>
        <v>12995000</v>
      </c>
      <c r="P343" s="60">
        <f t="shared" si="179"/>
        <v>250000</v>
      </c>
      <c r="Q343" s="60">
        <f t="shared" si="179"/>
        <v>0</v>
      </c>
    </row>
    <row r="344" spans="1:20" ht="28" customHeight="1" x14ac:dyDescent="0.35">
      <c r="A344" s="241"/>
      <c r="B344" s="249"/>
      <c r="C344" s="19"/>
      <c r="D344" s="19"/>
      <c r="E344" s="19"/>
      <c r="F344" s="66" t="s">
        <v>322</v>
      </c>
      <c r="G344" s="67">
        <f t="shared" si="166"/>
        <v>13245000</v>
      </c>
      <c r="H344" s="67">
        <f t="shared" ref="H344:I364" si="180">K344+O344</f>
        <v>12995000</v>
      </c>
      <c r="I344" s="67">
        <f t="shared" si="180"/>
        <v>250000</v>
      </c>
      <c r="J344" s="67">
        <f>K344+L344</f>
        <v>0</v>
      </c>
      <c r="K344" s="67">
        <v>0</v>
      </c>
      <c r="L344" s="67">
        <v>0</v>
      </c>
      <c r="M344" s="67">
        <v>0</v>
      </c>
      <c r="N344" s="67">
        <f>O344+P344</f>
        <v>13245000</v>
      </c>
      <c r="O344" s="67">
        <v>12995000</v>
      </c>
      <c r="P344" s="67">
        <v>250000</v>
      </c>
      <c r="Q344" s="68">
        <v>0</v>
      </c>
    </row>
    <row r="345" spans="1:20" ht="28.5" x14ac:dyDescent="0.35">
      <c r="A345" s="241" t="s">
        <v>333</v>
      </c>
      <c r="B345" s="249" t="s">
        <v>334</v>
      </c>
      <c r="C345" s="52">
        <f>C346</f>
        <v>2272380</v>
      </c>
      <c r="D345" s="52">
        <f>D346</f>
        <v>0</v>
      </c>
      <c r="E345" s="53">
        <f>E346</f>
        <v>23000000</v>
      </c>
      <c r="F345" s="54" t="s">
        <v>335</v>
      </c>
      <c r="G345" s="52">
        <f t="shared" si="166"/>
        <v>53478830</v>
      </c>
      <c r="H345" s="52">
        <f t="shared" si="180"/>
        <v>52615932</v>
      </c>
      <c r="I345" s="52">
        <f t="shared" si="180"/>
        <v>862898</v>
      </c>
      <c r="J345" s="52">
        <f>J346</f>
        <v>53478830</v>
      </c>
      <c r="K345" s="52">
        <f t="shared" ref="K345:Q345" si="181">K346</f>
        <v>52615932</v>
      </c>
      <c r="L345" s="52">
        <f t="shared" si="181"/>
        <v>862898</v>
      </c>
      <c r="M345" s="52">
        <f t="shared" si="181"/>
        <v>0</v>
      </c>
      <c r="N345" s="52">
        <f t="shared" si="181"/>
        <v>0</v>
      </c>
      <c r="O345" s="52">
        <f t="shared" si="181"/>
        <v>0</v>
      </c>
      <c r="P345" s="52">
        <f t="shared" si="181"/>
        <v>0</v>
      </c>
      <c r="Q345" s="52">
        <f t="shared" si="181"/>
        <v>0</v>
      </c>
    </row>
    <row r="346" spans="1:20" ht="28" customHeight="1" x14ac:dyDescent="0.35">
      <c r="A346" s="241"/>
      <c r="B346" s="249"/>
      <c r="C346" s="99">
        <f>G348+G349</f>
        <v>2272380</v>
      </c>
      <c r="D346" s="60">
        <v>0</v>
      </c>
      <c r="E346" s="72">
        <f>G350</f>
        <v>23000000</v>
      </c>
      <c r="F346" s="61" t="s">
        <v>321</v>
      </c>
      <c r="G346" s="60">
        <f t="shared" si="166"/>
        <v>53478830</v>
      </c>
      <c r="H346" s="60">
        <f t="shared" si="180"/>
        <v>52615932</v>
      </c>
      <c r="I346" s="60">
        <f t="shared" si="180"/>
        <v>862898</v>
      </c>
      <c r="J346" s="60">
        <f>J347+J348+J349+J350</f>
        <v>53478830</v>
      </c>
      <c r="K346" s="60">
        <f t="shared" ref="K346:Q346" si="182">K347+K348+K349+K350</f>
        <v>52615932</v>
      </c>
      <c r="L346" s="60">
        <f t="shared" si="182"/>
        <v>862898</v>
      </c>
      <c r="M346" s="60">
        <f t="shared" si="182"/>
        <v>0</v>
      </c>
      <c r="N346" s="60">
        <f t="shared" si="182"/>
        <v>0</v>
      </c>
      <c r="O346" s="60">
        <f t="shared" si="182"/>
        <v>0</v>
      </c>
      <c r="P346" s="60">
        <f t="shared" si="182"/>
        <v>0</v>
      </c>
      <c r="Q346" s="60">
        <f t="shared" si="182"/>
        <v>0</v>
      </c>
    </row>
    <row r="347" spans="1:20" ht="28" customHeight="1" x14ac:dyDescent="0.35">
      <c r="A347" s="241"/>
      <c r="B347" s="249"/>
      <c r="C347" s="19"/>
      <c r="D347" s="19"/>
      <c r="E347" s="19"/>
      <c r="F347" s="66" t="s">
        <v>322</v>
      </c>
      <c r="G347" s="67">
        <f t="shared" si="166"/>
        <v>28206450</v>
      </c>
      <c r="H347" s="67">
        <f t="shared" si="180"/>
        <v>27973552</v>
      </c>
      <c r="I347" s="67">
        <f t="shared" si="180"/>
        <v>232898</v>
      </c>
      <c r="J347" s="67">
        <f>K347+L347</f>
        <v>28206450</v>
      </c>
      <c r="K347" s="67">
        <v>27973552</v>
      </c>
      <c r="L347" s="67">
        <v>232898</v>
      </c>
      <c r="M347" s="67">
        <v>0</v>
      </c>
      <c r="N347" s="67">
        <f>O347+P347</f>
        <v>0</v>
      </c>
      <c r="O347" s="67">
        <v>0</v>
      </c>
      <c r="P347" s="67">
        <v>0</v>
      </c>
      <c r="Q347" s="67">
        <v>0</v>
      </c>
    </row>
    <row r="348" spans="1:20" ht="28" customHeight="1" x14ac:dyDescent="0.35">
      <c r="A348" s="241"/>
      <c r="B348" s="249"/>
      <c r="C348" s="19"/>
      <c r="D348" s="19"/>
      <c r="E348" s="19"/>
      <c r="F348" s="66" t="s">
        <v>336</v>
      </c>
      <c r="G348" s="71">
        <f t="shared" si="166"/>
        <v>2272380</v>
      </c>
      <c r="H348" s="71">
        <f t="shared" si="180"/>
        <v>2272380</v>
      </c>
      <c r="I348" s="71">
        <f t="shared" si="180"/>
        <v>0</v>
      </c>
      <c r="J348" s="71">
        <f>K348+L348</f>
        <v>2272380</v>
      </c>
      <c r="K348" s="71">
        <f>5800000-593485-2934135</f>
        <v>2272380</v>
      </c>
      <c r="L348" s="71">
        <f>1200000-1200000</f>
        <v>0</v>
      </c>
      <c r="M348" s="71">
        <v>0</v>
      </c>
      <c r="N348" s="71">
        <f>O348+P348</f>
        <v>0</v>
      </c>
      <c r="O348" s="71">
        <v>0</v>
      </c>
      <c r="P348" s="71">
        <v>0</v>
      </c>
      <c r="Q348" s="71">
        <v>0</v>
      </c>
    </row>
    <row r="349" spans="1:20" ht="28" customHeight="1" x14ac:dyDescent="0.35">
      <c r="A349" s="241"/>
      <c r="B349" s="249"/>
      <c r="C349" s="19"/>
      <c r="D349" s="19"/>
      <c r="E349" s="19"/>
      <c r="F349" s="66" t="s">
        <v>337</v>
      </c>
      <c r="G349" s="71">
        <f t="shared" si="166"/>
        <v>0</v>
      </c>
      <c r="H349" s="71">
        <f t="shared" si="180"/>
        <v>0</v>
      </c>
      <c r="I349" s="71">
        <f t="shared" si="180"/>
        <v>0</v>
      </c>
      <c r="J349" s="71">
        <f>K349+L349</f>
        <v>0</v>
      </c>
      <c r="K349" s="71">
        <v>0</v>
      </c>
      <c r="L349" s="71">
        <v>0</v>
      </c>
      <c r="M349" s="71">
        <v>0</v>
      </c>
      <c r="N349" s="71">
        <f>O349+P349</f>
        <v>0</v>
      </c>
      <c r="O349" s="71">
        <v>0</v>
      </c>
      <c r="P349" s="71">
        <v>0</v>
      </c>
      <c r="Q349" s="71">
        <v>0</v>
      </c>
    </row>
    <row r="350" spans="1:20" ht="28" customHeight="1" x14ac:dyDescent="0.35">
      <c r="A350" s="241"/>
      <c r="B350" s="249"/>
      <c r="C350" s="19"/>
      <c r="D350" s="19"/>
      <c r="E350" s="19"/>
      <c r="F350" s="66" t="s">
        <v>338</v>
      </c>
      <c r="G350" s="74">
        <f t="shared" si="166"/>
        <v>23000000</v>
      </c>
      <c r="H350" s="74">
        <f t="shared" si="180"/>
        <v>22370000</v>
      </c>
      <c r="I350" s="74">
        <f t="shared" si="180"/>
        <v>630000</v>
      </c>
      <c r="J350" s="74">
        <f>K350+L350</f>
        <v>23000000</v>
      </c>
      <c r="K350" s="74">
        <v>22370000</v>
      </c>
      <c r="L350" s="74">
        <v>630000</v>
      </c>
      <c r="M350" s="74">
        <v>0</v>
      </c>
      <c r="N350" s="74">
        <f>O350+P350</f>
        <v>0</v>
      </c>
      <c r="O350" s="74">
        <v>0</v>
      </c>
      <c r="P350" s="74">
        <v>0</v>
      </c>
      <c r="Q350" s="74">
        <v>0</v>
      </c>
    </row>
    <row r="351" spans="1:20" ht="30" customHeight="1" x14ac:dyDescent="0.35">
      <c r="A351" s="45" t="s">
        <v>339</v>
      </c>
      <c r="B351" s="46" t="s">
        <v>340</v>
      </c>
      <c r="C351" s="47">
        <f>C352+C355+C359</f>
        <v>239443138</v>
      </c>
      <c r="D351" s="47">
        <f>D352+D355+D359</f>
        <v>107334000</v>
      </c>
      <c r="E351" s="48">
        <f>E352+E355+E359</f>
        <v>0</v>
      </c>
      <c r="F351" s="49"/>
      <c r="G351" s="48">
        <f t="shared" si="166"/>
        <v>604211818</v>
      </c>
      <c r="H351" s="48">
        <f t="shared" si="180"/>
        <v>579288817</v>
      </c>
      <c r="I351" s="48">
        <f t="shared" si="180"/>
        <v>24923001</v>
      </c>
      <c r="J351" s="48">
        <f>J352+J355+J359</f>
        <v>269443138</v>
      </c>
      <c r="K351" s="48">
        <f t="shared" ref="K351:Q351" si="183">K352+K355+K359</f>
        <v>251266825</v>
      </c>
      <c r="L351" s="48">
        <f t="shared" si="183"/>
        <v>18176313</v>
      </c>
      <c r="M351" s="48">
        <f t="shared" si="183"/>
        <v>0</v>
      </c>
      <c r="N351" s="48">
        <f t="shared" si="183"/>
        <v>334768680</v>
      </c>
      <c r="O351" s="48">
        <f t="shared" si="183"/>
        <v>328021992</v>
      </c>
      <c r="P351" s="48">
        <f t="shared" si="183"/>
        <v>6746688</v>
      </c>
      <c r="Q351" s="48">
        <f t="shared" si="183"/>
        <v>0</v>
      </c>
    </row>
    <row r="352" spans="1:20" ht="208" customHeight="1" x14ac:dyDescent="0.35">
      <c r="A352" s="241" t="s">
        <v>341</v>
      </c>
      <c r="B352" s="242" t="s">
        <v>342</v>
      </c>
      <c r="C352" s="52">
        <f>C353</f>
        <v>0</v>
      </c>
      <c r="D352" s="52">
        <f>D353</f>
        <v>0</v>
      </c>
      <c r="E352" s="53">
        <f>E353</f>
        <v>0</v>
      </c>
      <c r="F352" s="54" t="s">
        <v>343</v>
      </c>
      <c r="G352" s="52">
        <f t="shared" si="166"/>
        <v>125068680</v>
      </c>
      <c r="H352" s="52">
        <f t="shared" si="180"/>
        <v>121321992</v>
      </c>
      <c r="I352" s="52">
        <f t="shared" si="180"/>
        <v>3746688</v>
      </c>
      <c r="J352" s="52">
        <f>J353</f>
        <v>0</v>
      </c>
      <c r="K352" s="52">
        <f t="shared" ref="K352:Q353" si="184">K353</f>
        <v>0</v>
      </c>
      <c r="L352" s="52">
        <f t="shared" si="184"/>
        <v>0</v>
      </c>
      <c r="M352" s="52">
        <f t="shared" si="184"/>
        <v>0</v>
      </c>
      <c r="N352" s="52">
        <f t="shared" si="184"/>
        <v>125068680</v>
      </c>
      <c r="O352" s="52">
        <f t="shared" si="184"/>
        <v>121321992</v>
      </c>
      <c r="P352" s="52">
        <f t="shared" si="184"/>
        <v>3746688</v>
      </c>
      <c r="Q352" s="52">
        <f t="shared" si="184"/>
        <v>0</v>
      </c>
    </row>
    <row r="353" spans="1:24" ht="28" customHeight="1" x14ac:dyDescent="0.35">
      <c r="A353" s="241"/>
      <c r="B353" s="242"/>
      <c r="C353" s="19">
        <v>0</v>
      </c>
      <c r="D353" s="60">
        <v>0</v>
      </c>
      <c r="E353" s="60">
        <v>0</v>
      </c>
      <c r="F353" s="61" t="s">
        <v>34</v>
      </c>
      <c r="G353" s="60">
        <f t="shared" si="166"/>
        <v>125068680</v>
      </c>
      <c r="H353" s="60">
        <f t="shared" si="180"/>
        <v>121321992</v>
      </c>
      <c r="I353" s="60">
        <f t="shared" si="180"/>
        <v>3746688</v>
      </c>
      <c r="J353" s="60">
        <f>J354</f>
        <v>0</v>
      </c>
      <c r="K353" s="60">
        <f t="shared" si="184"/>
        <v>0</v>
      </c>
      <c r="L353" s="60">
        <f t="shared" si="184"/>
        <v>0</v>
      </c>
      <c r="M353" s="60">
        <f t="shared" si="184"/>
        <v>0</v>
      </c>
      <c r="N353" s="60">
        <f t="shared" si="184"/>
        <v>125068680</v>
      </c>
      <c r="O353" s="60">
        <f t="shared" si="184"/>
        <v>121321992</v>
      </c>
      <c r="P353" s="60">
        <f t="shared" si="184"/>
        <v>3746688</v>
      </c>
      <c r="Q353" s="60">
        <f t="shared" si="184"/>
        <v>0</v>
      </c>
    </row>
    <row r="354" spans="1:24" ht="28" customHeight="1" x14ac:dyDescent="0.35">
      <c r="A354" s="241"/>
      <c r="B354" s="242"/>
      <c r="C354" s="19"/>
      <c r="D354" s="19"/>
      <c r="E354" s="19"/>
      <c r="F354" s="66" t="s">
        <v>35</v>
      </c>
      <c r="G354" s="67">
        <f t="shared" si="166"/>
        <v>125068680</v>
      </c>
      <c r="H354" s="67">
        <f t="shared" si="180"/>
        <v>121321992</v>
      </c>
      <c r="I354" s="67">
        <f t="shared" si="180"/>
        <v>3746688</v>
      </c>
      <c r="J354" s="67">
        <f>K354+L354</f>
        <v>0</v>
      </c>
      <c r="K354" s="67">
        <v>0</v>
      </c>
      <c r="L354" s="67">
        <v>0</v>
      </c>
      <c r="M354" s="67">
        <v>0</v>
      </c>
      <c r="N354" s="67">
        <f>O354+P354</f>
        <v>125068680</v>
      </c>
      <c r="O354" s="67">
        <v>121321992</v>
      </c>
      <c r="P354" s="67">
        <v>3746688</v>
      </c>
      <c r="Q354" s="68">
        <v>0</v>
      </c>
    </row>
    <row r="355" spans="1:24" ht="185.5" customHeight="1" x14ac:dyDescent="0.35">
      <c r="A355" s="241" t="s">
        <v>344</v>
      </c>
      <c r="B355" s="242" t="s">
        <v>345</v>
      </c>
      <c r="C355" s="52">
        <f>C356</f>
        <v>0</v>
      </c>
      <c r="D355" s="52">
        <f>D356</f>
        <v>87334000</v>
      </c>
      <c r="E355" s="53">
        <f>E356</f>
        <v>0</v>
      </c>
      <c r="F355" s="54" t="s">
        <v>346</v>
      </c>
      <c r="G355" s="52">
        <f t="shared" si="166"/>
        <v>209700000</v>
      </c>
      <c r="H355" s="52">
        <f t="shared" si="180"/>
        <v>206700000</v>
      </c>
      <c r="I355" s="52">
        <f t="shared" si="180"/>
        <v>3000000</v>
      </c>
      <c r="J355" s="52">
        <f>J356</f>
        <v>0</v>
      </c>
      <c r="K355" s="52">
        <f t="shared" ref="K355:Q355" si="185">K356</f>
        <v>0</v>
      </c>
      <c r="L355" s="52">
        <f t="shared" si="185"/>
        <v>0</v>
      </c>
      <c r="M355" s="52">
        <f t="shared" si="185"/>
        <v>0</v>
      </c>
      <c r="N355" s="52">
        <f t="shared" si="185"/>
        <v>209700000</v>
      </c>
      <c r="O355" s="52">
        <f t="shared" si="185"/>
        <v>206700000</v>
      </c>
      <c r="P355" s="52">
        <f t="shared" si="185"/>
        <v>3000000</v>
      </c>
      <c r="Q355" s="52">
        <f t="shared" si="185"/>
        <v>0</v>
      </c>
    </row>
    <row r="356" spans="1:24" ht="28" customHeight="1" x14ac:dyDescent="0.35">
      <c r="A356" s="241"/>
      <c r="B356" s="242"/>
      <c r="C356" s="60">
        <v>0</v>
      </c>
      <c r="D356" s="112">
        <f>G358</f>
        <v>87334000</v>
      </c>
      <c r="E356" s="60">
        <v>0</v>
      </c>
      <c r="F356" s="61" t="s">
        <v>34</v>
      </c>
      <c r="G356" s="60">
        <f t="shared" si="166"/>
        <v>209700000</v>
      </c>
      <c r="H356" s="60">
        <f t="shared" si="180"/>
        <v>206700000</v>
      </c>
      <c r="I356" s="60">
        <f t="shared" si="180"/>
        <v>3000000</v>
      </c>
      <c r="J356" s="60">
        <f>J357+J358</f>
        <v>0</v>
      </c>
      <c r="K356" s="60">
        <f t="shared" ref="K356:Q356" si="186">K357+K358</f>
        <v>0</v>
      </c>
      <c r="L356" s="60">
        <f t="shared" si="186"/>
        <v>0</v>
      </c>
      <c r="M356" s="60">
        <f t="shared" si="186"/>
        <v>0</v>
      </c>
      <c r="N356" s="60">
        <f t="shared" si="186"/>
        <v>209700000</v>
      </c>
      <c r="O356" s="60">
        <f t="shared" si="186"/>
        <v>206700000</v>
      </c>
      <c r="P356" s="60">
        <f t="shared" si="186"/>
        <v>3000000</v>
      </c>
      <c r="Q356" s="60">
        <f t="shared" si="186"/>
        <v>0</v>
      </c>
    </row>
    <row r="357" spans="1:24" ht="28" customHeight="1" x14ac:dyDescent="0.35">
      <c r="A357" s="241"/>
      <c r="B357" s="242"/>
      <c r="C357" s="19"/>
      <c r="D357" s="19"/>
      <c r="E357" s="19"/>
      <c r="F357" s="66" t="s">
        <v>35</v>
      </c>
      <c r="G357" s="67">
        <f t="shared" si="166"/>
        <v>122366000</v>
      </c>
      <c r="H357" s="67">
        <f t="shared" si="180"/>
        <v>119366000</v>
      </c>
      <c r="I357" s="67">
        <f t="shared" si="180"/>
        <v>3000000</v>
      </c>
      <c r="J357" s="67">
        <f>K357+L357</f>
        <v>0</v>
      </c>
      <c r="K357" s="67">
        <v>0</v>
      </c>
      <c r="L357" s="67">
        <v>0</v>
      </c>
      <c r="M357" s="67">
        <v>0</v>
      </c>
      <c r="N357" s="67">
        <f>O357+P357</f>
        <v>122366000</v>
      </c>
      <c r="O357" s="67">
        <v>119366000</v>
      </c>
      <c r="P357" s="67">
        <v>3000000</v>
      </c>
      <c r="Q357" s="68">
        <v>0</v>
      </c>
    </row>
    <row r="358" spans="1:24" ht="28" customHeight="1" x14ac:dyDescent="0.35">
      <c r="A358" s="241"/>
      <c r="B358" s="242"/>
      <c r="C358" s="19"/>
      <c r="D358" s="19"/>
      <c r="E358" s="19"/>
      <c r="F358" s="66" t="s">
        <v>347</v>
      </c>
      <c r="G358" s="103">
        <f t="shared" si="166"/>
        <v>87334000</v>
      </c>
      <c r="H358" s="103">
        <f t="shared" si="180"/>
        <v>87334000</v>
      </c>
      <c r="I358" s="103">
        <f t="shared" si="180"/>
        <v>0</v>
      </c>
      <c r="J358" s="103">
        <f>K358+L358</f>
        <v>0</v>
      </c>
      <c r="K358" s="103">
        <v>0</v>
      </c>
      <c r="L358" s="103">
        <v>0</v>
      </c>
      <c r="M358" s="103">
        <v>0</v>
      </c>
      <c r="N358" s="103">
        <f>O358+P358</f>
        <v>87334000</v>
      </c>
      <c r="O358" s="103">
        <v>87334000</v>
      </c>
      <c r="P358" s="103">
        <v>0</v>
      </c>
      <c r="Q358" s="103">
        <v>0</v>
      </c>
    </row>
    <row r="359" spans="1:24" ht="28.5" x14ac:dyDescent="0.35">
      <c r="A359" s="241" t="s">
        <v>348</v>
      </c>
      <c r="B359" s="242" t="s">
        <v>349</v>
      </c>
      <c r="C359" s="52">
        <f>C360+C364+C366</f>
        <v>239443138</v>
      </c>
      <c r="D359" s="52">
        <f>D360+D364+D366</f>
        <v>20000000</v>
      </c>
      <c r="E359" s="52">
        <f>E360+E364+E366</f>
        <v>0</v>
      </c>
      <c r="F359" s="54" t="s">
        <v>350</v>
      </c>
      <c r="G359" s="52">
        <f t="shared" si="166"/>
        <v>269443138</v>
      </c>
      <c r="H359" s="52">
        <f t="shared" si="180"/>
        <v>251266825</v>
      </c>
      <c r="I359" s="52">
        <f t="shared" si="180"/>
        <v>18176313</v>
      </c>
      <c r="J359" s="52">
        <f>J360+J364+J366</f>
        <v>269443138</v>
      </c>
      <c r="K359" s="52">
        <f t="shared" ref="K359:Q359" si="187">K360+K364+K366</f>
        <v>251266825</v>
      </c>
      <c r="L359" s="52">
        <f t="shared" si="187"/>
        <v>18176313</v>
      </c>
      <c r="M359" s="52">
        <f t="shared" si="187"/>
        <v>0</v>
      </c>
      <c r="N359" s="52">
        <f t="shared" si="187"/>
        <v>0</v>
      </c>
      <c r="O359" s="52">
        <f t="shared" si="187"/>
        <v>0</v>
      </c>
      <c r="P359" s="52">
        <f t="shared" si="187"/>
        <v>0</v>
      </c>
      <c r="Q359" s="52">
        <f t="shared" si="187"/>
        <v>0</v>
      </c>
    </row>
    <row r="360" spans="1:24" ht="28" customHeight="1" x14ac:dyDescent="0.35">
      <c r="A360" s="241"/>
      <c r="B360" s="242"/>
      <c r="C360" s="69">
        <f>G362+G363</f>
        <v>239443138</v>
      </c>
      <c r="D360" s="60">
        <v>0</v>
      </c>
      <c r="E360" s="60">
        <v>0</v>
      </c>
      <c r="F360" s="61" t="s">
        <v>36</v>
      </c>
      <c r="G360" s="60">
        <f t="shared" si="166"/>
        <v>239443138</v>
      </c>
      <c r="H360" s="60">
        <f t="shared" si="180"/>
        <v>227489473</v>
      </c>
      <c r="I360" s="60">
        <f t="shared" si="180"/>
        <v>11953665</v>
      </c>
      <c r="J360" s="60">
        <f>J361+J362+J363</f>
        <v>239443138</v>
      </c>
      <c r="K360" s="60">
        <f t="shared" ref="K360:Q360" si="188">K361+K362+K363</f>
        <v>227489473</v>
      </c>
      <c r="L360" s="60">
        <f t="shared" si="188"/>
        <v>11953665</v>
      </c>
      <c r="M360" s="60">
        <f t="shared" si="188"/>
        <v>0</v>
      </c>
      <c r="N360" s="60">
        <f t="shared" si="188"/>
        <v>0</v>
      </c>
      <c r="O360" s="60">
        <f t="shared" si="188"/>
        <v>0</v>
      </c>
      <c r="P360" s="60">
        <f t="shared" si="188"/>
        <v>0</v>
      </c>
      <c r="Q360" s="60">
        <f t="shared" si="188"/>
        <v>0</v>
      </c>
    </row>
    <row r="361" spans="1:24" s="76" customFormat="1" ht="28" customHeight="1" x14ac:dyDescent="0.35">
      <c r="A361" s="241"/>
      <c r="B361" s="242"/>
      <c r="C361" s="79"/>
      <c r="D361" s="79"/>
      <c r="E361" s="79"/>
      <c r="F361" s="66" t="s">
        <v>37</v>
      </c>
      <c r="G361" s="67">
        <f t="shared" si="166"/>
        <v>0</v>
      </c>
      <c r="H361" s="67">
        <f t="shared" si="180"/>
        <v>0</v>
      </c>
      <c r="I361" s="67">
        <f t="shared" si="180"/>
        <v>0</v>
      </c>
      <c r="J361" s="67">
        <f>K361+L361</f>
        <v>0</v>
      </c>
      <c r="K361" s="67">
        <f>0</f>
        <v>0</v>
      </c>
      <c r="L361" s="67">
        <v>0</v>
      </c>
      <c r="M361" s="67">
        <v>0</v>
      </c>
      <c r="N361" s="67">
        <f>O361+P361</f>
        <v>0</v>
      </c>
      <c r="O361" s="67">
        <v>0</v>
      </c>
      <c r="P361" s="67">
        <v>0</v>
      </c>
      <c r="Q361" s="68">
        <v>0</v>
      </c>
      <c r="X361" s="114"/>
    </row>
    <row r="362" spans="1:24" ht="28" customHeight="1" x14ac:dyDescent="0.35">
      <c r="A362" s="241"/>
      <c r="B362" s="242"/>
      <c r="C362" s="79"/>
      <c r="D362" s="79"/>
      <c r="E362" s="79"/>
      <c r="F362" s="66" t="s">
        <v>38</v>
      </c>
      <c r="G362" s="71">
        <f t="shared" si="166"/>
        <v>203294177</v>
      </c>
      <c r="H362" s="71">
        <f t="shared" si="180"/>
        <v>191340512</v>
      </c>
      <c r="I362" s="71">
        <f t="shared" si="180"/>
        <v>11953665</v>
      </c>
      <c r="J362" s="71">
        <f>K362+L362</f>
        <v>203294177</v>
      </c>
      <c r="K362" s="71">
        <f>188855160+1283334+220671+981347</f>
        <v>191340512</v>
      </c>
      <c r="L362" s="71">
        <f>10003665+1950000</f>
        <v>11953665</v>
      </c>
      <c r="M362" s="71">
        <v>0</v>
      </c>
      <c r="N362" s="71">
        <f>O362+P362</f>
        <v>0</v>
      </c>
      <c r="O362" s="71">
        <v>0</v>
      </c>
      <c r="P362" s="71">
        <v>0</v>
      </c>
      <c r="Q362" s="71">
        <v>0</v>
      </c>
      <c r="X362" s="113"/>
    </row>
    <row r="363" spans="1:24" ht="28" customHeight="1" x14ac:dyDescent="0.35">
      <c r="A363" s="241"/>
      <c r="B363" s="242"/>
      <c r="C363" s="79"/>
      <c r="D363" s="79"/>
      <c r="E363" s="79"/>
      <c r="F363" s="66" t="s">
        <v>39</v>
      </c>
      <c r="G363" s="71">
        <f t="shared" si="166"/>
        <v>36148961</v>
      </c>
      <c r="H363" s="71">
        <f t="shared" si="180"/>
        <v>36148961</v>
      </c>
      <c r="I363" s="71">
        <f t="shared" si="180"/>
        <v>0</v>
      </c>
      <c r="J363" s="71">
        <f>K363+L363</f>
        <v>36148961</v>
      </c>
      <c r="K363" s="71">
        <f>27034725+1349058+264627+254980+57648+60270+100000+155338+6872315</f>
        <v>36148961</v>
      </c>
      <c r="L363" s="71">
        <v>0</v>
      </c>
      <c r="M363" s="71">
        <v>0</v>
      </c>
      <c r="N363" s="71">
        <f>O363+P363</f>
        <v>0</v>
      </c>
      <c r="O363" s="71">
        <v>0</v>
      </c>
      <c r="P363" s="71">
        <v>0</v>
      </c>
      <c r="Q363" s="71">
        <v>0</v>
      </c>
    </row>
    <row r="364" spans="1:24" ht="28" customHeight="1" x14ac:dyDescent="0.35">
      <c r="A364" s="241"/>
      <c r="B364" s="242"/>
      <c r="C364" s="60">
        <v>0</v>
      </c>
      <c r="D364" s="102">
        <f>G365</f>
        <v>20000000</v>
      </c>
      <c r="E364" s="60">
        <v>0</v>
      </c>
      <c r="F364" s="61" t="s">
        <v>186</v>
      </c>
      <c r="G364" s="60">
        <f t="shared" si="166"/>
        <v>20000000</v>
      </c>
      <c r="H364" s="60">
        <f t="shared" si="180"/>
        <v>15000000</v>
      </c>
      <c r="I364" s="60">
        <f t="shared" si="180"/>
        <v>5000000</v>
      </c>
      <c r="J364" s="60">
        <f>J365</f>
        <v>20000000</v>
      </c>
      <c r="K364" s="60">
        <f t="shared" ref="K364:Q364" si="189">K365</f>
        <v>15000000</v>
      </c>
      <c r="L364" s="60">
        <f t="shared" si="189"/>
        <v>5000000</v>
      </c>
      <c r="M364" s="60">
        <f t="shared" si="189"/>
        <v>0</v>
      </c>
      <c r="N364" s="60">
        <f t="shared" si="189"/>
        <v>0</v>
      </c>
      <c r="O364" s="60">
        <f t="shared" si="189"/>
        <v>0</v>
      </c>
      <c r="P364" s="60">
        <f t="shared" si="189"/>
        <v>0</v>
      </c>
      <c r="Q364" s="60">
        <f t="shared" si="189"/>
        <v>0</v>
      </c>
    </row>
    <row r="365" spans="1:24" ht="28" customHeight="1" x14ac:dyDescent="0.35">
      <c r="A365" s="241"/>
      <c r="B365" s="242"/>
      <c r="C365" s="79"/>
      <c r="D365" s="1"/>
      <c r="E365" s="79"/>
      <c r="F365" s="66" t="s">
        <v>187</v>
      </c>
      <c r="G365" s="103">
        <f t="shared" si="166"/>
        <v>20000000</v>
      </c>
      <c r="H365" s="103">
        <f t="shared" ref="H365:I370" si="190">K365+O365</f>
        <v>15000000</v>
      </c>
      <c r="I365" s="103">
        <f t="shared" si="190"/>
        <v>5000000</v>
      </c>
      <c r="J365" s="103">
        <f>K365+L365</f>
        <v>20000000</v>
      </c>
      <c r="K365" s="103">
        <v>15000000</v>
      </c>
      <c r="L365" s="103">
        <v>5000000</v>
      </c>
      <c r="M365" s="103">
        <v>0</v>
      </c>
      <c r="N365" s="103">
        <f>O365+P365</f>
        <v>0</v>
      </c>
      <c r="O365" s="103">
        <v>0</v>
      </c>
      <c r="P365" s="103">
        <v>0</v>
      </c>
      <c r="Q365" s="103">
        <v>0</v>
      </c>
    </row>
    <row r="366" spans="1:24" ht="28" customHeight="1" x14ac:dyDescent="0.35">
      <c r="A366" s="241"/>
      <c r="B366" s="242"/>
      <c r="C366" s="60">
        <v>0</v>
      </c>
      <c r="D366" s="60">
        <v>0</v>
      </c>
      <c r="E366" s="60">
        <v>0</v>
      </c>
      <c r="F366" s="61" t="s">
        <v>34</v>
      </c>
      <c r="G366" s="60">
        <f t="shared" si="166"/>
        <v>10000000</v>
      </c>
      <c r="H366" s="60">
        <f t="shared" si="190"/>
        <v>8777352</v>
      </c>
      <c r="I366" s="60">
        <f t="shared" si="190"/>
        <v>1222648</v>
      </c>
      <c r="J366" s="60">
        <f>J367</f>
        <v>10000000</v>
      </c>
      <c r="K366" s="60">
        <f t="shared" ref="K366:Q366" si="191">K367</f>
        <v>8777352</v>
      </c>
      <c r="L366" s="60">
        <f t="shared" si="191"/>
        <v>1222648</v>
      </c>
      <c r="M366" s="60">
        <f t="shared" si="191"/>
        <v>0</v>
      </c>
      <c r="N366" s="60">
        <f t="shared" si="191"/>
        <v>0</v>
      </c>
      <c r="O366" s="60">
        <f t="shared" si="191"/>
        <v>0</v>
      </c>
      <c r="P366" s="60">
        <f t="shared" si="191"/>
        <v>0</v>
      </c>
      <c r="Q366" s="60">
        <f t="shared" si="191"/>
        <v>0</v>
      </c>
    </row>
    <row r="367" spans="1:24" ht="28" customHeight="1" x14ac:dyDescent="0.35">
      <c r="A367" s="241"/>
      <c r="B367" s="242"/>
      <c r="C367" s="79"/>
      <c r="D367" s="79"/>
      <c r="E367" s="79"/>
      <c r="F367" s="66" t="s">
        <v>35</v>
      </c>
      <c r="G367" s="67">
        <f t="shared" si="166"/>
        <v>10000000</v>
      </c>
      <c r="H367" s="67">
        <f t="shared" si="190"/>
        <v>8777352</v>
      </c>
      <c r="I367" s="67">
        <f t="shared" si="190"/>
        <v>1222648</v>
      </c>
      <c r="J367" s="67">
        <f>K367+L367</f>
        <v>10000000</v>
      </c>
      <c r="K367" s="67">
        <v>8777352</v>
      </c>
      <c r="L367" s="67">
        <v>1222648</v>
      </c>
      <c r="M367" s="67">
        <v>0</v>
      </c>
      <c r="N367" s="67">
        <f>O367+P367</f>
        <v>0</v>
      </c>
      <c r="O367" s="67">
        <v>0</v>
      </c>
      <c r="P367" s="67">
        <v>0</v>
      </c>
      <c r="Q367" s="68">
        <v>0</v>
      </c>
    </row>
    <row r="368" spans="1:24" s="55" customFormat="1" ht="30" customHeight="1" x14ac:dyDescent="0.35">
      <c r="A368" s="45" t="s">
        <v>351</v>
      </c>
      <c r="B368" s="46" t="s">
        <v>352</v>
      </c>
      <c r="C368" s="47">
        <f>C369+C372+C376</f>
        <v>0</v>
      </c>
      <c r="D368" s="47">
        <f>D369+D372+D376</f>
        <v>0</v>
      </c>
      <c r="E368" s="48">
        <f>E369+E372+E376</f>
        <v>0</v>
      </c>
      <c r="F368" s="49"/>
      <c r="G368" s="48">
        <f>H368+I368</f>
        <v>217904320</v>
      </c>
      <c r="H368" s="48">
        <f t="shared" si="190"/>
        <v>212019320</v>
      </c>
      <c r="I368" s="48">
        <f t="shared" si="190"/>
        <v>5885000</v>
      </c>
      <c r="J368" s="48">
        <f t="shared" ref="J368:P368" si="192">J369+J372+J376</f>
        <v>31000000</v>
      </c>
      <c r="K368" s="48">
        <f t="shared" si="192"/>
        <v>28000000</v>
      </c>
      <c r="L368" s="48">
        <f t="shared" si="192"/>
        <v>3000000</v>
      </c>
      <c r="M368" s="48">
        <f t="shared" si="192"/>
        <v>0</v>
      </c>
      <c r="N368" s="48">
        <f t="shared" si="192"/>
        <v>186904320</v>
      </c>
      <c r="O368" s="48">
        <f t="shared" si="192"/>
        <v>184019320</v>
      </c>
      <c r="P368" s="48">
        <f t="shared" si="192"/>
        <v>2885000</v>
      </c>
      <c r="Q368" s="48">
        <f>Q369+Q372+Q376</f>
        <v>0</v>
      </c>
    </row>
    <row r="369" spans="1:17" s="55" customFormat="1" ht="80.5" customHeight="1" x14ac:dyDescent="0.35">
      <c r="A369" s="241" t="s">
        <v>330</v>
      </c>
      <c r="B369" s="242" t="s">
        <v>331</v>
      </c>
      <c r="C369" s="52">
        <f>C370</f>
        <v>0</v>
      </c>
      <c r="D369" s="52">
        <f>D370</f>
        <v>0</v>
      </c>
      <c r="E369" s="53">
        <f>E370</f>
        <v>0</v>
      </c>
      <c r="F369" s="54" t="s">
        <v>332</v>
      </c>
      <c r="G369" s="52">
        <f>J369+M369+N369+Q369</f>
        <v>116900000</v>
      </c>
      <c r="H369" s="52">
        <f t="shared" si="190"/>
        <v>116310000</v>
      </c>
      <c r="I369" s="52">
        <f t="shared" si="190"/>
        <v>590000</v>
      </c>
      <c r="J369" s="52">
        <f t="shared" ref="J369:Q369" si="193">J370</f>
        <v>0</v>
      </c>
      <c r="K369" s="52">
        <f t="shared" si="193"/>
        <v>0</v>
      </c>
      <c r="L369" s="52">
        <f t="shared" si="193"/>
        <v>0</v>
      </c>
      <c r="M369" s="52">
        <f t="shared" si="193"/>
        <v>0</v>
      </c>
      <c r="N369" s="52">
        <f t="shared" si="193"/>
        <v>116900000</v>
      </c>
      <c r="O369" s="52">
        <f t="shared" si="193"/>
        <v>116310000</v>
      </c>
      <c r="P369" s="52">
        <f t="shared" si="193"/>
        <v>590000</v>
      </c>
      <c r="Q369" s="52">
        <f t="shared" si="193"/>
        <v>0</v>
      </c>
    </row>
    <row r="370" spans="1:17" ht="28" customHeight="1" x14ac:dyDescent="0.35">
      <c r="A370" s="241"/>
      <c r="B370" s="242"/>
      <c r="C370" s="60">
        <v>0</v>
      </c>
      <c r="D370" s="60">
        <v>0</v>
      </c>
      <c r="E370" s="60">
        <v>0</v>
      </c>
      <c r="F370" s="61" t="s">
        <v>321</v>
      </c>
      <c r="G370" s="60">
        <f>J370+M370+N370</f>
        <v>116900000</v>
      </c>
      <c r="H370" s="60">
        <f t="shared" si="190"/>
        <v>116310000</v>
      </c>
      <c r="I370" s="60">
        <f t="shared" si="190"/>
        <v>590000</v>
      </c>
      <c r="J370" s="60">
        <v>0</v>
      </c>
      <c r="K370" s="60">
        <f>J370-L370</f>
        <v>0</v>
      </c>
      <c r="L370" s="60">
        <v>0</v>
      </c>
      <c r="M370" s="60">
        <v>0</v>
      </c>
      <c r="N370" s="60">
        <f>SUM(O370:P370)</f>
        <v>116900000</v>
      </c>
      <c r="O370" s="77">
        <v>116310000</v>
      </c>
      <c r="P370" s="77">
        <v>590000</v>
      </c>
      <c r="Q370" s="60">
        <v>0</v>
      </c>
    </row>
    <row r="371" spans="1:17" ht="28" customHeight="1" x14ac:dyDescent="0.35">
      <c r="A371" s="241"/>
      <c r="B371" s="242"/>
      <c r="C371" s="19"/>
      <c r="D371" s="19"/>
      <c r="E371" s="19"/>
      <c r="F371" s="66" t="s">
        <v>322</v>
      </c>
      <c r="G371" s="67">
        <f>G370</f>
        <v>116900000</v>
      </c>
      <c r="H371" s="67">
        <f t="shared" ref="H371:Q371" si="194">H370</f>
        <v>116310000</v>
      </c>
      <c r="I371" s="67">
        <f t="shared" si="194"/>
        <v>590000</v>
      </c>
      <c r="J371" s="67">
        <f t="shared" si="194"/>
        <v>0</v>
      </c>
      <c r="K371" s="67">
        <f t="shared" si="194"/>
        <v>0</v>
      </c>
      <c r="L371" s="67">
        <f t="shared" si="194"/>
        <v>0</v>
      </c>
      <c r="M371" s="67">
        <f t="shared" si="194"/>
        <v>0</v>
      </c>
      <c r="N371" s="67">
        <f t="shared" si="194"/>
        <v>116900000</v>
      </c>
      <c r="O371" s="67">
        <f t="shared" si="194"/>
        <v>116310000</v>
      </c>
      <c r="P371" s="67">
        <f t="shared" si="194"/>
        <v>590000</v>
      </c>
      <c r="Q371" s="68">
        <f t="shared" si="194"/>
        <v>0</v>
      </c>
    </row>
    <row r="372" spans="1:17" ht="133" customHeight="1" x14ac:dyDescent="0.35">
      <c r="A372" s="241" t="s">
        <v>353</v>
      </c>
      <c r="B372" s="242" t="s">
        <v>354</v>
      </c>
      <c r="C372" s="52">
        <f>C373</f>
        <v>0</v>
      </c>
      <c r="D372" s="52">
        <f>D373</f>
        <v>0</v>
      </c>
      <c r="E372" s="53">
        <f>E373</f>
        <v>0</v>
      </c>
      <c r="F372" s="54" t="s">
        <v>355</v>
      </c>
      <c r="G372" s="52">
        <f>J372+M372+N372+Q372</f>
        <v>70004320</v>
      </c>
      <c r="H372" s="52">
        <f>K372+O372</f>
        <v>67709320</v>
      </c>
      <c r="I372" s="52">
        <f>L372+P372</f>
        <v>2295000</v>
      </c>
      <c r="J372" s="52">
        <f t="shared" ref="J372:Q372" si="195">J373</f>
        <v>0</v>
      </c>
      <c r="K372" s="52">
        <f t="shared" si="195"/>
        <v>0</v>
      </c>
      <c r="L372" s="52">
        <f t="shared" si="195"/>
        <v>0</v>
      </c>
      <c r="M372" s="52">
        <f t="shared" si="195"/>
        <v>0</v>
      </c>
      <c r="N372" s="52">
        <f t="shared" si="195"/>
        <v>70004320</v>
      </c>
      <c r="O372" s="52">
        <f t="shared" si="195"/>
        <v>67709320</v>
      </c>
      <c r="P372" s="52">
        <f t="shared" si="195"/>
        <v>2295000</v>
      </c>
      <c r="Q372" s="52">
        <f t="shared" si="195"/>
        <v>0</v>
      </c>
    </row>
    <row r="373" spans="1:17" ht="28" customHeight="1" x14ac:dyDescent="0.35">
      <c r="A373" s="241"/>
      <c r="B373" s="242"/>
      <c r="C373" s="60">
        <v>0</v>
      </c>
      <c r="D373" s="112">
        <f>G375</f>
        <v>0</v>
      </c>
      <c r="E373" s="60">
        <v>0</v>
      </c>
      <c r="F373" s="61" t="s">
        <v>34</v>
      </c>
      <c r="G373" s="60">
        <f>J373+M373+N373</f>
        <v>70004320</v>
      </c>
      <c r="H373" s="60">
        <f>K373+O373</f>
        <v>67709320</v>
      </c>
      <c r="I373" s="60">
        <f>L373+P373</f>
        <v>2295000</v>
      </c>
      <c r="J373" s="60">
        <v>0</v>
      </c>
      <c r="K373" s="60">
        <f>J373-L373</f>
        <v>0</v>
      </c>
      <c r="L373" s="60">
        <v>0</v>
      </c>
      <c r="M373" s="60">
        <v>0</v>
      </c>
      <c r="N373" s="60">
        <f>SUM(O373:P373)</f>
        <v>70004320</v>
      </c>
      <c r="O373" s="77">
        <f>O374+O375</f>
        <v>67709320</v>
      </c>
      <c r="P373" s="77">
        <v>2295000</v>
      </c>
      <c r="Q373" s="60">
        <v>0</v>
      </c>
    </row>
    <row r="374" spans="1:17" ht="28" customHeight="1" x14ac:dyDescent="0.35">
      <c r="A374" s="241"/>
      <c r="B374" s="242"/>
      <c r="C374" s="19"/>
      <c r="D374" s="19"/>
      <c r="E374" s="19"/>
      <c r="F374" s="66" t="s">
        <v>35</v>
      </c>
      <c r="G374" s="67">
        <f>G373-G375</f>
        <v>70004320</v>
      </c>
      <c r="H374" s="67">
        <f>H373-H375</f>
        <v>67709320</v>
      </c>
      <c r="I374" s="67">
        <f>I373-I375</f>
        <v>2295000</v>
      </c>
      <c r="J374" s="67">
        <f>J373</f>
        <v>0</v>
      </c>
      <c r="K374" s="67">
        <f>K373</f>
        <v>0</v>
      </c>
      <c r="L374" s="67">
        <f>L373</f>
        <v>0</v>
      </c>
      <c r="M374" s="67">
        <f>M373</f>
        <v>0</v>
      </c>
      <c r="N374" s="67">
        <f>O374+P374</f>
        <v>70004320</v>
      </c>
      <c r="O374" s="67">
        <f>71211000-3501680</f>
        <v>67709320</v>
      </c>
      <c r="P374" s="67">
        <f>P373-P375</f>
        <v>2295000</v>
      </c>
      <c r="Q374" s="68">
        <f>Q373</f>
        <v>0</v>
      </c>
    </row>
    <row r="375" spans="1:17" ht="28" customHeight="1" x14ac:dyDescent="0.35">
      <c r="A375" s="241"/>
      <c r="B375" s="242"/>
      <c r="C375" s="19"/>
      <c r="D375" s="19"/>
      <c r="E375" s="19"/>
      <c r="F375" s="66" t="s">
        <v>347</v>
      </c>
      <c r="G375" s="103">
        <f t="shared" ref="G375:G378" si="196">J375+M375+N375+Q375</f>
        <v>0</v>
      </c>
      <c r="H375" s="103">
        <f t="shared" ref="H375:I381" si="197">K375+O375</f>
        <v>0</v>
      </c>
      <c r="I375" s="103">
        <f t="shared" si="197"/>
        <v>0</v>
      </c>
      <c r="J375" s="103">
        <f>K375+L375</f>
        <v>0</v>
      </c>
      <c r="K375" s="103">
        <v>0</v>
      </c>
      <c r="L375" s="103">
        <v>0</v>
      </c>
      <c r="M375" s="103">
        <v>0</v>
      </c>
      <c r="N375" s="103">
        <f>O375+P375</f>
        <v>0</v>
      </c>
      <c r="O375" s="103">
        <f>12500000-12500000</f>
        <v>0</v>
      </c>
      <c r="P375" s="103">
        <v>0</v>
      </c>
      <c r="Q375" s="103">
        <v>0</v>
      </c>
    </row>
    <row r="376" spans="1:17" ht="105" customHeight="1" x14ac:dyDescent="0.35">
      <c r="A376" s="243" t="s">
        <v>348</v>
      </c>
      <c r="B376" s="246" t="s">
        <v>349</v>
      </c>
      <c r="C376" s="52">
        <f>C377</f>
        <v>0</v>
      </c>
      <c r="D376" s="52">
        <f t="shared" ref="D376:E376" si="198">D377</f>
        <v>0</v>
      </c>
      <c r="E376" s="52">
        <f t="shared" si="198"/>
        <v>0</v>
      </c>
      <c r="F376" s="54" t="s">
        <v>350</v>
      </c>
      <c r="G376" s="52">
        <f t="shared" si="196"/>
        <v>31000000</v>
      </c>
      <c r="H376" s="52">
        <f t="shared" si="197"/>
        <v>28000000</v>
      </c>
      <c r="I376" s="52">
        <f t="shared" si="197"/>
        <v>3000000</v>
      </c>
      <c r="J376" s="52">
        <f t="shared" ref="J376:Q377" si="199">J377</f>
        <v>31000000</v>
      </c>
      <c r="K376" s="52">
        <f t="shared" si="199"/>
        <v>28000000</v>
      </c>
      <c r="L376" s="52">
        <f t="shared" si="199"/>
        <v>3000000</v>
      </c>
      <c r="M376" s="52">
        <f t="shared" si="199"/>
        <v>0</v>
      </c>
      <c r="N376" s="52">
        <f t="shared" si="199"/>
        <v>0</v>
      </c>
      <c r="O376" s="52">
        <f t="shared" si="199"/>
        <v>0</v>
      </c>
      <c r="P376" s="52">
        <f t="shared" si="199"/>
        <v>0</v>
      </c>
      <c r="Q376" s="52">
        <f t="shared" si="199"/>
        <v>0</v>
      </c>
    </row>
    <row r="377" spans="1:17" ht="28" customHeight="1" x14ac:dyDescent="0.35">
      <c r="A377" s="244"/>
      <c r="B377" s="247"/>
      <c r="C377" s="60">
        <v>0</v>
      </c>
      <c r="D377" s="60">
        <v>0</v>
      </c>
      <c r="E377" s="60">
        <v>0</v>
      </c>
      <c r="F377" s="61" t="s">
        <v>34</v>
      </c>
      <c r="G377" s="60">
        <f t="shared" si="196"/>
        <v>31000000</v>
      </c>
      <c r="H377" s="60">
        <f t="shared" si="197"/>
        <v>28000000</v>
      </c>
      <c r="I377" s="60">
        <f t="shared" si="197"/>
        <v>3000000</v>
      </c>
      <c r="J377" s="60">
        <f t="shared" si="199"/>
        <v>31000000</v>
      </c>
      <c r="K377" s="60">
        <f t="shared" si="199"/>
        <v>28000000</v>
      </c>
      <c r="L377" s="60">
        <f t="shared" si="199"/>
        <v>3000000</v>
      </c>
      <c r="M377" s="60">
        <f t="shared" si="199"/>
        <v>0</v>
      </c>
      <c r="N377" s="60">
        <f>SUM(O377:P377)</f>
        <v>0</v>
      </c>
      <c r="O377" s="77">
        <f>O378</f>
        <v>0</v>
      </c>
      <c r="P377" s="77">
        <f>P378</f>
        <v>0</v>
      </c>
      <c r="Q377" s="60">
        <f>Q378</f>
        <v>0</v>
      </c>
    </row>
    <row r="378" spans="1:17" ht="28" customHeight="1" x14ac:dyDescent="0.35">
      <c r="A378" s="244"/>
      <c r="B378" s="247"/>
      <c r="C378" s="19"/>
      <c r="D378" s="19"/>
      <c r="E378" s="19"/>
      <c r="F378" s="66" t="s">
        <v>35</v>
      </c>
      <c r="G378" s="67">
        <f t="shared" si="196"/>
        <v>31000000</v>
      </c>
      <c r="H378" s="67">
        <f t="shared" si="197"/>
        <v>28000000</v>
      </c>
      <c r="I378" s="67">
        <f t="shared" si="197"/>
        <v>3000000</v>
      </c>
      <c r="J378" s="67">
        <f>K378+L378</f>
        <v>31000000</v>
      </c>
      <c r="K378" s="67">
        <f>45000000-17000000</f>
        <v>28000000</v>
      </c>
      <c r="L378" s="67">
        <f>5000000-2000000</f>
        <v>3000000</v>
      </c>
      <c r="M378" s="67">
        <v>0</v>
      </c>
      <c r="N378" s="67">
        <f>O378+P378</f>
        <v>0</v>
      </c>
      <c r="O378" s="67">
        <v>0</v>
      </c>
      <c r="P378" s="67">
        <v>0</v>
      </c>
      <c r="Q378" s="68">
        <v>0</v>
      </c>
    </row>
    <row r="379" spans="1:17" ht="30" customHeight="1" x14ac:dyDescent="0.35">
      <c r="A379" s="45" t="s">
        <v>356</v>
      </c>
      <c r="B379" s="46" t="s">
        <v>357</v>
      </c>
      <c r="C379" s="47">
        <f>C380+C384+C388</f>
        <v>0</v>
      </c>
      <c r="D379" s="47">
        <f>D380+D384+D388</f>
        <v>27665800</v>
      </c>
      <c r="E379" s="48">
        <f>E380+E384+E388</f>
        <v>0</v>
      </c>
      <c r="F379" s="49"/>
      <c r="G379" s="48">
        <f>H379+I379</f>
        <v>283969292</v>
      </c>
      <c r="H379" s="48">
        <f t="shared" si="197"/>
        <v>276414980</v>
      </c>
      <c r="I379" s="48">
        <f t="shared" si="197"/>
        <v>7554312</v>
      </c>
      <c r="J379" s="48">
        <f t="shared" ref="J379:P379" si="200">J380+J384+J388</f>
        <v>0</v>
      </c>
      <c r="K379" s="48">
        <f t="shared" si="200"/>
        <v>0</v>
      </c>
      <c r="L379" s="48">
        <f t="shared" si="200"/>
        <v>0</v>
      </c>
      <c r="M379" s="48">
        <f t="shared" si="200"/>
        <v>0</v>
      </c>
      <c r="N379" s="48">
        <f t="shared" si="200"/>
        <v>283969292</v>
      </c>
      <c r="O379" s="48">
        <f t="shared" si="200"/>
        <v>276414980</v>
      </c>
      <c r="P379" s="48">
        <f t="shared" si="200"/>
        <v>7554312</v>
      </c>
      <c r="Q379" s="48">
        <f>Q380+Q384+Q388</f>
        <v>0</v>
      </c>
    </row>
    <row r="380" spans="1:17" ht="124.5" customHeight="1" x14ac:dyDescent="0.35">
      <c r="A380" s="241" t="s">
        <v>318</v>
      </c>
      <c r="B380" s="242" t="s">
        <v>319</v>
      </c>
      <c r="C380" s="52">
        <f>C381</f>
        <v>0</v>
      </c>
      <c r="D380" s="52">
        <f>D381</f>
        <v>10000000</v>
      </c>
      <c r="E380" s="53">
        <f>E381</f>
        <v>0</v>
      </c>
      <c r="F380" s="54" t="s">
        <v>320</v>
      </c>
      <c r="G380" s="52">
        <f>J380+M380+N380+Q380</f>
        <v>194102012</v>
      </c>
      <c r="H380" s="52">
        <f t="shared" si="197"/>
        <v>190455000</v>
      </c>
      <c r="I380" s="52">
        <f t="shared" si="197"/>
        <v>3647012</v>
      </c>
      <c r="J380" s="52">
        <f t="shared" ref="J380:Q380" si="201">J381</f>
        <v>0</v>
      </c>
      <c r="K380" s="52">
        <f t="shared" si="201"/>
        <v>0</v>
      </c>
      <c r="L380" s="52">
        <f t="shared" si="201"/>
        <v>0</v>
      </c>
      <c r="M380" s="52">
        <f t="shared" si="201"/>
        <v>0</v>
      </c>
      <c r="N380" s="52">
        <f t="shared" si="201"/>
        <v>194102012</v>
      </c>
      <c r="O380" s="52">
        <f t="shared" si="201"/>
        <v>190455000</v>
      </c>
      <c r="P380" s="52">
        <f t="shared" si="201"/>
        <v>3647012</v>
      </c>
      <c r="Q380" s="52">
        <f t="shared" si="201"/>
        <v>0</v>
      </c>
    </row>
    <row r="381" spans="1:17" ht="28" customHeight="1" x14ac:dyDescent="0.35">
      <c r="A381" s="241"/>
      <c r="B381" s="242"/>
      <c r="C381" s="60">
        <v>0</v>
      </c>
      <c r="D381" s="112">
        <f>G383</f>
        <v>10000000</v>
      </c>
      <c r="E381" s="60">
        <v>0</v>
      </c>
      <c r="F381" s="61" t="s">
        <v>321</v>
      </c>
      <c r="G381" s="60">
        <f>J381+M381+N381</f>
        <v>194102012</v>
      </c>
      <c r="H381" s="60">
        <f t="shared" si="197"/>
        <v>190455000</v>
      </c>
      <c r="I381" s="60">
        <f t="shared" si="197"/>
        <v>3647012</v>
      </c>
      <c r="J381" s="60">
        <v>0</v>
      </c>
      <c r="K381" s="60">
        <v>0</v>
      </c>
      <c r="L381" s="60">
        <v>0</v>
      </c>
      <c r="M381" s="60">
        <v>0</v>
      </c>
      <c r="N381" s="60">
        <f>SUM(O381:P381)</f>
        <v>194102012</v>
      </c>
      <c r="O381" s="77">
        <v>190455000</v>
      </c>
      <c r="P381" s="77">
        <v>3647012</v>
      </c>
      <c r="Q381" s="60">
        <v>0</v>
      </c>
    </row>
    <row r="382" spans="1:17" ht="28" customHeight="1" x14ac:dyDescent="0.35">
      <c r="A382" s="241"/>
      <c r="B382" s="242"/>
      <c r="C382" s="19"/>
      <c r="D382" s="19"/>
      <c r="E382" s="19"/>
      <c r="F382" s="66" t="s">
        <v>322</v>
      </c>
      <c r="G382" s="67">
        <f>G381-G383</f>
        <v>184102012</v>
      </c>
      <c r="H382" s="67">
        <f>H381-H383</f>
        <v>180455000</v>
      </c>
      <c r="I382" s="67">
        <f>I381-I383</f>
        <v>3647012</v>
      </c>
      <c r="J382" s="67">
        <f>J381</f>
        <v>0</v>
      </c>
      <c r="K382" s="67">
        <f>K381</f>
        <v>0</v>
      </c>
      <c r="L382" s="67">
        <f>L381</f>
        <v>0</v>
      </c>
      <c r="M382" s="67">
        <f>M381</f>
        <v>0</v>
      </c>
      <c r="N382" s="67">
        <f>N381-N383</f>
        <v>184102012</v>
      </c>
      <c r="O382" s="67">
        <f>O381-O383</f>
        <v>180455000</v>
      </c>
      <c r="P382" s="67">
        <f>P381-P383</f>
        <v>3647012</v>
      </c>
      <c r="Q382" s="68">
        <f>Q381</f>
        <v>0</v>
      </c>
    </row>
    <row r="383" spans="1:17" ht="28" customHeight="1" x14ac:dyDescent="0.35">
      <c r="A383" s="241"/>
      <c r="B383" s="242"/>
      <c r="C383" s="19"/>
      <c r="D383" s="19"/>
      <c r="E383" s="19"/>
      <c r="F383" s="66" t="s">
        <v>323</v>
      </c>
      <c r="G383" s="103">
        <f>J383+M383+N383+Q383</f>
        <v>10000000</v>
      </c>
      <c r="H383" s="103">
        <f t="shared" ref="H383:I385" si="202">K383+O383</f>
        <v>10000000</v>
      </c>
      <c r="I383" s="103">
        <f t="shared" si="202"/>
        <v>0</v>
      </c>
      <c r="J383" s="103">
        <f>K383+L383</f>
        <v>0</v>
      </c>
      <c r="K383" s="103">
        <v>0</v>
      </c>
      <c r="L383" s="103">
        <v>0</v>
      </c>
      <c r="M383" s="103">
        <v>0</v>
      </c>
      <c r="N383" s="103">
        <f>O383+P383</f>
        <v>10000000</v>
      </c>
      <c r="O383" s="103">
        <v>10000000</v>
      </c>
      <c r="P383" s="103">
        <v>0</v>
      </c>
      <c r="Q383" s="103">
        <v>0</v>
      </c>
    </row>
    <row r="384" spans="1:17" ht="183.65" customHeight="1" x14ac:dyDescent="0.35">
      <c r="A384" s="241" t="s">
        <v>344</v>
      </c>
      <c r="B384" s="242" t="s">
        <v>345</v>
      </c>
      <c r="C384" s="52">
        <f>C385</f>
        <v>0</v>
      </c>
      <c r="D384" s="52">
        <f>D385</f>
        <v>12665800</v>
      </c>
      <c r="E384" s="53">
        <f>E385</f>
        <v>0</v>
      </c>
      <c r="F384" s="54" t="s">
        <v>346</v>
      </c>
      <c r="G384" s="52">
        <f>J384+M384+N384+Q384</f>
        <v>16401770</v>
      </c>
      <c r="H384" s="52">
        <f t="shared" si="202"/>
        <v>15312970</v>
      </c>
      <c r="I384" s="52">
        <f t="shared" si="202"/>
        <v>1088800</v>
      </c>
      <c r="J384" s="52">
        <f t="shared" ref="J384:Q384" si="203">J385</f>
        <v>0</v>
      </c>
      <c r="K384" s="52">
        <f t="shared" si="203"/>
        <v>0</v>
      </c>
      <c r="L384" s="52">
        <f t="shared" si="203"/>
        <v>0</v>
      </c>
      <c r="M384" s="52">
        <f t="shared" si="203"/>
        <v>0</v>
      </c>
      <c r="N384" s="52">
        <f t="shared" si="203"/>
        <v>16401770</v>
      </c>
      <c r="O384" s="52">
        <f t="shared" si="203"/>
        <v>15312970</v>
      </c>
      <c r="P384" s="52">
        <f t="shared" si="203"/>
        <v>1088800</v>
      </c>
      <c r="Q384" s="52">
        <f t="shared" si="203"/>
        <v>0</v>
      </c>
    </row>
    <row r="385" spans="1:17" ht="28" customHeight="1" x14ac:dyDescent="0.35">
      <c r="A385" s="241"/>
      <c r="B385" s="242"/>
      <c r="C385" s="60">
        <v>0</v>
      </c>
      <c r="D385" s="112">
        <f>G387</f>
        <v>12665800</v>
      </c>
      <c r="E385" s="60">
        <v>0</v>
      </c>
      <c r="F385" s="61" t="s">
        <v>34</v>
      </c>
      <c r="G385" s="60">
        <f>J385+M385+N385</f>
        <v>16401770</v>
      </c>
      <c r="H385" s="60">
        <f t="shared" si="202"/>
        <v>15312970</v>
      </c>
      <c r="I385" s="60">
        <f t="shared" si="202"/>
        <v>1088800</v>
      </c>
      <c r="J385" s="60">
        <v>0</v>
      </c>
      <c r="K385" s="60">
        <v>0</v>
      </c>
      <c r="L385" s="60">
        <v>0</v>
      </c>
      <c r="M385" s="60">
        <v>0</v>
      </c>
      <c r="N385" s="60">
        <f>SUM(O385:P385)</f>
        <v>16401770</v>
      </c>
      <c r="O385" s="77">
        <v>15312970</v>
      </c>
      <c r="P385" s="77">
        <v>1088800</v>
      </c>
      <c r="Q385" s="60">
        <v>0</v>
      </c>
    </row>
    <row r="386" spans="1:17" ht="28" customHeight="1" x14ac:dyDescent="0.35">
      <c r="A386" s="241"/>
      <c r="B386" s="242"/>
      <c r="C386" s="19"/>
      <c r="D386" s="19"/>
      <c r="E386" s="19"/>
      <c r="F386" s="66" t="s">
        <v>35</v>
      </c>
      <c r="G386" s="67">
        <f>G385-G387</f>
        <v>3735970</v>
      </c>
      <c r="H386" s="67">
        <f>H385-H387</f>
        <v>2647170</v>
      </c>
      <c r="I386" s="67">
        <f>I385-I387</f>
        <v>1088800</v>
      </c>
      <c r="J386" s="67">
        <f t="shared" ref="J386:Q386" si="204">J385</f>
        <v>0</v>
      </c>
      <c r="K386" s="67">
        <f t="shared" si="204"/>
        <v>0</v>
      </c>
      <c r="L386" s="67">
        <f t="shared" si="204"/>
        <v>0</v>
      </c>
      <c r="M386" s="67">
        <f t="shared" si="204"/>
        <v>0</v>
      </c>
      <c r="N386" s="67">
        <f>N385-N387</f>
        <v>3735970</v>
      </c>
      <c r="O386" s="67">
        <f>O385-O387</f>
        <v>2647170</v>
      </c>
      <c r="P386" s="67">
        <f>P385-P387</f>
        <v>1088800</v>
      </c>
      <c r="Q386" s="68">
        <f t="shared" si="204"/>
        <v>0</v>
      </c>
    </row>
    <row r="387" spans="1:17" ht="28" customHeight="1" x14ac:dyDescent="0.35">
      <c r="A387" s="241"/>
      <c r="B387" s="242"/>
      <c r="C387" s="19"/>
      <c r="D387" s="19"/>
      <c r="E387" s="19"/>
      <c r="F387" s="66" t="s">
        <v>347</v>
      </c>
      <c r="G387" s="103">
        <f>J387+M387+N387+Q387</f>
        <v>12665800</v>
      </c>
      <c r="H387" s="103">
        <f t="shared" ref="H387:I389" si="205">K387+O387</f>
        <v>12665800</v>
      </c>
      <c r="I387" s="103">
        <f t="shared" si="205"/>
        <v>0</v>
      </c>
      <c r="J387" s="103">
        <f>K387+L387</f>
        <v>0</v>
      </c>
      <c r="K387" s="103">
        <v>0</v>
      </c>
      <c r="L387" s="103">
        <v>0</v>
      </c>
      <c r="M387" s="103">
        <v>0</v>
      </c>
      <c r="N387" s="103">
        <f>O387+P387</f>
        <v>12665800</v>
      </c>
      <c r="O387" s="103">
        <v>12665800</v>
      </c>
      <c r="P387" s="103">
        <v>0</v>
      </c>
      <c r="Q387" s="103"/>
    </row>
    <row r="388" spans="1:17" ht="47" x14ac:dyDescent="0.35">
      <c r="A388" s="241" t="s">
        <v>358</v>
      </c>
      <c r="B388" s="242" t="s">
        <v>359</v>
      </c>
      <c r="C388" s="52">
        <f>C389</f>
        <v>0</v>
      </c>
      <c r="D388" s="52">
        <f>D389</f>
        <v>5000000</v>
      </c>
      <c r="E388" s="53">
        <f>E389</f>
        <v>0</v>
      </c>
      <c r="F388" s="54" t="s">
        <v>360</v>
      </c>
      <c r="G388" s="52">
        <f>J388+M388+N388+Q388</f>
        <v>73465510</v>
      </c>
      <c r="H388" s="52">
        <f t="shared" si="205"/>
        <v>70647010</v>
      </c>
      <c r="I388" s="52">
        <f t="shared" si="205"/>
        <v>2818500</v>
      </c>
      <c r="J388" s="52">
        <f t="shared" ref="J388:Q388" si="206">J389</f>
        <v>0</v>
      </c>
      <c r="K388" s="52">
        <f t="shared" si="206"/>
        <v>0</v>
      </c>
      <c r="L388" s="52">
        <f t="shared" si="206"/>
        <v>0</v>
      </c>
      <c r="M388" s="52">
        <f t="shared" si="206"/>
        <v>0</v>
      </c>
      <c r="N388" s="52">
        <f t="shared" si="206"/>
        <v>73465510</v>
      </c>
      <c r="O388" s="52">
        <f t="shared" si="206"/>
        <v>70647010</v>
      </c>
      <c r="P388" s="52">
        <f t="shared" si="206"/>
        <v>2818500</v>
      </c>
      <c r="Q388" s="52">
        <f t="shared" si="206"/>
        <v>0</v>
      </c>
    </row>
    <row r="389" spans="1:17" ht="28" customHeight="1" x14ac:dyDescent="0.35">
      <c r="A389" s="241"/>
      <c r="B389" s="242"/>
      <c r="C389" s="60">
        <v>0</v>
      </c>
      <c r="D389" s="112">
        <f>G391</f>
        <v>5000000</v>
      </c>
      <c r="E389" s="60">
        <v>0</v>
      </c>
      <c r="F389" s="61" t="s">
        <v>321</v>
      </c>
      <c r="G389" s="60">
        <f>J389+M389+N389</f>
        <v>73465510</v>
      </c>
      <c r="H389" s="60">
        <f t="shared" si="205"/>
        <v>70647010</v>
      </c>
      <c r="I389" s="60">
        <f t="shared" si="205"/>
        <v>2818500</v>
      </c>
      <c r="J389" s="60">
        <v>0</v>
      </c>
      <c r="K389" s="60">
        <v>0</v>
      </c>
      <c r="L389" s="60">
        <v>0</v>
      </c>
      <c r="M389" s="60">
        <v>0</v>
      </c>
      <c r="N389" s="60">
        <f>SUM(O389:P389)</f>
        <v>73465510</v>
      </c>
      <c r="O389" s="77">
        <v>70647010</v>
      </c>
      <c r="P389" s="77">
        <v>2818500</v>
      </c>
      <c r="Q389" s="60">
        <v>0</v>
      </c>
    </row>
    <row r="390" spans="1:17" ht="28" customHeight="1" x14ac:dyDescent="0.35">
      <c r="A390" s="241"/>
      <c r="B390" s="242"/>
      <c r="C390" s="19"/>
      <c r="D390" s="19"/>
      <c r="E390" s="19"/>
      <c r="F390" s="66" t="s">
        <v>322</v>
      </c>
      <c r="G390" s="67">
        <f>G389-G391</f>
        <v>68465510</v>
      </c>
      <c r="H390" s="67">
        <f>H389-H391</f>
        <v>65647010</v>
      </c>
      <c r="I390" s="67">
        <f>I389-I391</f>
        <v>2818500</v>
      </c>
      <c r="J390" s="67">
        <f>J389</f>
        <v>0</v>
      </c>
      <c r="K390" s="67">
        <f>K389</f>
        <v>0</v>
      </c>
      <c r="L390" s="67">
        <f>L389</f>
        <v>0</v>
      </c>
      <c r="M390" s="67">
        <f>M389</f>
        <v>0</v>
      </c>
      <c r="N390" s="67">
        <f>N389-N391</f>
        <v>68465510</v>
      </c>
      <c r="O390" s="67">
        <f>O389-O391</f>
        <v>65647010</v>
      </c>
      <c r="P390" s="67">
        <f>P389-P391</f>
        <v>2818500</v>
      </c>
      <c r="Q390" s="68">
        <f>Q389</f>
        <v>0</v>
      </c>
    </row>
    <row r="391" spans="1:17" ht="28" customHeight="1" x14ac:dyDescent="0.35">
      <c r="A391" s="241"/>
      <c r="B391" s="242"/>
      <c r="C391" s="19"/>
      <c r="D391" s="19"/>
      <c r="E391" s="19"/>
      <c r="F391" s="66" t="s">
        <v>323</v>
      </c>
      <c r="G391" s="103">
        <f>J391+M391+N391+Q391</f>
        <v>5000000</v>
      </c>
      <c r="H391" s="103">
        <f t="shared" ref="H391:I406" si="207">K391+O391</f>
        <v>5000000</v>
      </c>
      <c r="I391" s="103">
        <f t="shared" si="207"/>
        <v>0</v>
      </c>
      <c r="J391" s="103">
        <f>K391+L391</f>
        <v>0</v>
      </c>
      <c r="K391" s="103">
        <v>0</v>
      </c>
      <c r="L391" s="103">
        <v>0</v>
      </c>
      <c r="M391" s="103">
        <v>0</v>
      </c>
      <c r="N391" s="103">
        <f>O391+P391</f>
        <v>5000000</v>
      </c>
      <c r="O391" s="103">
        <v>5000000</v>
      </c>
      <c r="P391" s="103">
        <v>0</v>
      </c>
      <c r="Q391" s="103">
        <v>0</v>
      </c>
    </row>
    <row r="392" spans="1:17" ht="30" customHeight="1" x14ac:dyDescent="0.35">
      <c r="A392" s="45" t="s">
        <v>361</v>
      </c>
      <c r="B392" s="46" t="s">
        <v>362</v>
      </c>
      <c r="C392" s="47">
        <f>C393+C397+C400+C406+C410+C418+C427</f>
        <v>102549224</v>
      </c>
      <c r="D392" s="47">
        <f>D393+D397+D400+D406+D410+D418+D427</f>
        <v>245000000</v>
      </c>
      <c r="E392" s="48">
        <f>E393+E397+E400+E406+E410+E418+E427</f>
        <v>20125000</v>
      </c>
      <c r="F392" s="49"/>
      <c r="G392" s="48">
        <f>J392+M392+N392+Q392</f>
        <v>1132129224</v>
      </c>
      <c r="H392" s="48">
        <f>K392+O392</f>
        <v>1101819224</v>
      </c>
      <c r="I392" s="48">
        <f>L392+P392</f>
        <v>30310000</v>
      </c>
      <c r="J392" s="48">
        <f t="shared" ref="J392:Q392" si="208">J393+J397+J400+J406+J410+J418+J427</f>
        <v>495614224</v>
      </c>
      <c r="K392" s="48">
        <f t="shared" si="208"/>
        <v>480264224</v>
      </c>
      <c r="L392" s="48">
        <f t="shared" si="208"/>
        <v>15350000</v>
      </c>
      <c r="M392" s="48">
        <f t="shared" si="208"/>
        <v>0</v>
      </c>
      <c r="N392" s="48">
        <f t="shared" si="208"/>
        <v>636515000</v>
      </c>
      <c r="O392" s="48">
        <f t="shared" si="208"/>
        <v>621555000</v>
      </c>
      <c r="P392" s="48">
        <f t="shared" si="208"/>
        <v>14960000</v>
      </c>
      <c r="Q392" s="48">
        <f t="shared" si="208"/>
        <v>0</v>
      </c>
    </row>
    <row r="393" spans="1:17" ht="47" x14ac:dyDescent="0.35">
      <c r="A393" s="241" t="s">
        <v>363</v>
      </c>
      <c r="B393" s="242" t="s">
        <v>364</v>
      </c>
      <c r="C393" s="52">
        <f>C394</f>
        <v>0</v>
      </c>
      <c r="D393" s="52">
        <f>D394</f>
        <v>50000000</v>
      </c>
      <c r="E393" s="53">
        <f>E394</f>
        <v>0</v>
      </c>
      <c r="F393" s="54" t="s">
        <v>365</v>
      </c>
      <c r="G393" s="52">
        <f t="shared" ref="G393:G429" si="209">J393+M393+N393+Q393</f>
        <v>143865000</v>
      </c>
      <c r="H393" s="52">
        <f t="shared" si="207"/>
        <v>142255000</v>
      </c>
      <c r="I393" s="52">
        <f t="shared" si="207"/>
        <v>1610000</v>
      </c>
      <c r="J393" s="52">
        <f>J394</f>
        <v>0</v>
      </c>
      <c r="K393" s="52">
        <f t="shared" ref="K393:Q393" si="210">K394</f>
        <v>0</v>
      </c>
      <c r="L393" s="52">
        <f t="shared" si="210"/>
        <v>0</v>
      </c>
      <c r="M393" s="52">
        <f t="shared" si="210"/>
        <v>0</v>
      </c>
      <c r="N393" s="52">
        <f t="shared" si="210"/>
        <v>143865000</v>
      </c>
      <c r="O393" s="52">
        <f t="shared" si="210"/>
        <v>142255000</v>
      </c>
      <c r="P393" s="52">
        <f t="shared" si="210"/>
        <v>1610000</v>
      </c>
      <c r="Q393" s="52">
        <f t="shared" si="210"/>
        <v>0</v>
      </c>
    </row>
    <row r="394" spans="1:17" ht="28" customHeight="1" x14ac:dyDescent="0.35">
      <c r="A394" s="241"/>
      <c r="B394" s="242"/>
      <c r="C394" s="60">
        <v>0</v>
      </c>
      <c r="D394" s="112">
        <f>G396</f>
        <v>50000000</v>
      </c>
      <c r="E394" s="60">
        <v>0</v>
      </c>
      <c r="F394" s="61" t="s">
        <v>321</v>
      </c>
      <c r="G394" s="60">
        <f t="shared" si="209"/>
        <v>143865000</v>
      </c>
      <c r="H394" s="60">
        <f t="shared" si="207"/>
        <v>142255000</v>
      </c>
      <c r="I394" s="60">
        <f t="shared" si="207"/>
        <v>1610000</v>
      </c>
      <c r="J394" s="60">
        <f>J395+J396</f>
        <v>0</v>
      </c>
      <c r="K394" s="60">
        <f t="shared" ref="K394:Q394" si="211">K395+K396</f>
        <v>0</v>
      </c>
      <c r="L394" s="60">
        <f t="shared" si="211"/>
        <v>0</v>
      </c>
      <c r="M394" s="60">
        <f t="shared" si="211"/>
        <v>0</v>
      </c>
      <c r="N394" s="60">
        <f t="shared" si="211"/>
        <v>143865000</v>
      </c>
      <c r="O394" s="60">
        <f t="shared" si="211"/>
        <v>142255000</v>
      </c>
      <c r="P394" s="60">
        <f t="shared" si="211"/>
        <v>1610000</v>
      </c>
      <c r="Q394" s="60">
        <f t="shared" si="211"/>
        <v>0</v>
      </c>
    </row>
    <row r="395" spans="1:17" ht="28" customHeight="1" x14ac:dyDescent="0.35">
      <c r="A395" s="241"/>
      <c r="B395" s="242"/>
      <c r="C395" s="19"/>
      <c r="D395" s="19"/>
      <c r="E395" s="19"/>
      <c r="F395" s="66" t="s">
        <v>322</v>
      </c>
      <c r="G395" s="67">
        <f t="shared" si="209"/>
        <v>93865000</v>
      </c>
      <c r="H395" s="67">
        <f t="shared" si="207"/>
        <v>92255000</v>
      </c>
      <c r="I395" s="67">
        <f t="shared" si="207"/>
        <v>1610000</v>
      </c>
      <c r="J395" s="67">
        <f>K395+L395</f>
        <v>0</v>
      </c>
      <c r="K395" s="67">
        <v>0</v>
      </c>
      <c r="L395" s="67">
        <v>0</v>
      </c>
      <c r="M395" s="67">
        <v>0</v>
      </c>
      <c r="N395" s="67">
        <f>O395+P395</f>
        <v>93865000</v>
      </c>
      <c r="O395" s="67">
        <v>92255000</v>
      </c>
      <c r="P395" s="67">
        <v>1610000</v>
      </c>
      <c r="Q395" s="68">
        <v>0</v>
      </c>
    </row>
    <row r="396" spans="1:17" ht="28" customHeight="1" x14ac:dyDescent="0.35">
      <c r="A396" s="241"/>
      <c r="B396" s="242"/>
      <c r="C396" s="19"/>
      <c r="D396" s="19"/>
      <c r="E396" s="19"/>
      <c r="F396" s="66" t="s">
        <v>323</v>
      </c>
      <c r="G396" s="103">
        <f t="shared" si="209"/>
        <v>50000000</v>
      </c>
      <c r="H396" s="103">
        <f t="shared" si="207"/>
        <v>50000000</v>
      </c>
      <c r="I396" s="103">
        <f t="shared" si="207"/>
        <v>0</v>
      </c>
      <c r="J396" s="103">
        <f>K396+L396</f>
        <v>0</v>
      </c>
      <c r="K396" s="103">
        <v>0</v>
      </c>
      <c r="L396" s="103">
        <v>0</v>
      </c>
      <c r="M396" s="103">
        <v>0</v>
      </c>
      <c r="N396" s="103">
        <f>O396+P396</f>
        <v>50000000</v>
      </c>
      <c r="O396" s="103">
        <v>50000000</v>
      </c>
      <c r="P396" s="103">
        <v>0</v>
      </c>
      <c r="Q396" s="103">
        <v>0</v>
      </c>
    </row>
    <row r="397" spans="1:17" ht="47" x14ac:dyDescent="0.35">
      <c r="A397" s="241" t="s">
        <v>366</v>
      </c>
      <c r="B397" s="242" t="s">
        <v>367</v>
      </c>
      <c r="C397" s="52">
        <f>C398</f>
        <v>0</v>
      </c>
      <c r="D397" s="52">
        <f>D398</f>
        <v>0</v>
      </c>
      <c r="E397" s="53">
        <f>E398</f>
        <v>0</v>
      </c>
      <c r="F397" s="54" t="s">
        <v>368</v>
      </c>
      <c r="G397" s="52">
        <f t="shared" si="209"/>
        <v>60421000</v>
      </c>
      <c r="H397" s="52">
        <f t="shared" si="207"/>
        <v>60421000</v>
      </c>
      <c r="I397" s="52">
        <f t="shared" si="207"/>
        <v>0</v>
      </c>
      <c r="J397" s="52">
        <f>J398</f>
        <v>0</v>
      </c>
      <c r="K397" s="52">
        <f t="shared" ref="K397:Q398" si="212">K398</f>
        <v>0</v>
      </c>
      <c r="L397" s="52">
        <f t="shared" si="212"/>
        <v>0</v>
      </c>
      <c r="M397" s="52">
        <f t="shared" si="212"/>
        <v>0</v>
      </c>
      <c r="N397" s="52">
        <f t="shared" si="212"/>
        <v>60421000</v>
      </c>
      <c r="O397" s="52">
        <f t="shared" si="212"/>
        <v>60421000</v>
      </c>
      <c r="P397" s="52">
        <f t="shared" si="212"/>
        <v>0</v>
      </c>
      <c r="Q397" s="52">
        <f t="shared" si="212"/>
        <v>0</v>
      </c>
    </row>
    <row r="398" spans="1:17" ht="28" customHeight="1" x14ac:dyDescent="0.35">
      <c r="A398" s="241"/>
      <c r="B398" s="242"/>
      <c r="C398" s="60">
        <v>0</v>
      </c>
      <c r="D398" s="60">
        <v>0</v>
      </c>
      <c r="E398" s="60">
        <v>0</v>
      </c>
      <c r="F398" s="61" t="s">
        <v>321</v>
      </c>
      <c r="G398" s="60">
        <f t="shared" si="209"/>
        <v>60421000</v>
      </c>
      <c r="H398" s="60">
        <f t="shared" si="207"/>
        <v>60421000</v>
      </c>
      <c r="I398" s="60">
        <f t="shared" si="207"/>
        <v>0</v>
      </c>
      <c r="J398" s="60">
        <f>J399</f>
        <v>0</v>
      </c>
      <c r="K398" s="60">
        <f t="shared" si="212"/>
        <v>0</v>
      </c>
      <c r="L398" s="60">
        <f t="shared" si="212"/>
        <v>0</v>
      </c>
      <c r="M398" s="60">
        <f t="shared" si="212"/>
        <v>0</v>
      </c>
      <c r="N398" s="60">
        <f t="shared" si="212"/>
        <v>60421000</v>
      </c>
      <c r="O398" s="60">
        <f t="shared" si="212"/>
        <v>60421000</v>
      </c>
      <c r="P398" s="60">
        <f t="shared" si="212"/>
        <v>0</v>
      </c>
      <c r="Q398" s="60">
        <f t="shared" si="212"/>
        <v>0</v>
      </c>
    </row>
    <row r="399" spans="1:17" ht="28" customHeight="1" x14ac:dyDescent="0.35">
      <c r="A399" s="241"/>
      <c r="B399" s="242"/>
      <c r="C399" s="19"/>
      <c r="D399" s="19"/>
      <c r="E399" s="19"/>
      <c r="F399" s="66" t="s">
        <v>322</v>
      </c>
      <c r="G399" s="68">
        <f t="shared" si="209"/>
        <v>60421000</v>
      </c>
      <c r="H399" s="68">
        <f t="shared" si="207"/>
        <v>60421000</v>
      </c>
      <c r="I399" s="68">
        <f t="shared" si="207"/>
        <v>0</v>
      </c>
      <c r="J399" s="68">
        <f>K399+L399</f>
        <v>0</v>
      </c>
      <c r="K399" s="68">
        <v>0</v>
      </c>
      <c r="L399" s="68">
        <v>0</v>
      </c>
      <c r="M399" s="68">
        <v>0</v>
      </c>
      <c r="N399" s="68">
        <f>O399+P399</f>
        <v>60421000</v>
      </c>
      <c r="O399" s="68">
        <v>60421000</v>
      </c>
      <c r="P399" s="68">
        <v>0</v>
      </c>
      <c r="Q399" s="68">
        <v>0</v>
      </c>
    </row>
    <row r="400" spans="1:17" ht="142.5" customHeight="1" x14ac:dyDescent="0.35">
      <c r="A400" s="241" t="s">
        <v>369</v>
      </c>
      <c r="B400" s="242" t="s">
        <v>370</v>
      </c>
      <c r="C400" s="52">
        <f>C401+C403</f>
        <v>0</v>
      </c>
      <c r="D400" s="52">
        <f>D401+D403</f>
        <v>55000000</v>
      </c>
      <c r="E400" s="53">
        <f>E401+E403</f>
        <v>0</v>
      </c>
      <c r="F400" s="54" t="s">
        <v>371</v>
      </c>
      <c r="G400" s="52">
        <f t="shared" si="209"/>
        <v>234319000</v>
      </c>
      <c r="H400" s="52">
        <f t="shared" si="207"/>
        <v>225079000</v>
      </c>
      <c r="I400" s="52">
        <f t="shared" si="207"/>
        <v>9240000</v>
      </c>
      <c r="J400" s="52">
        <f>J401+J403</f>
        <v>0</v>
      </c>
      <c r="K400" s="52">
        <f t="shared" ref="K400:Q400" si="213">K401+K403</f>
        <v>0</v>
      </c>
      <c r="L400" s="52">
        <f t="shared" si="213"/>
        <v>0</v>
      </c>
      <c r="M400" s="52">
        <f t="shared" si="213"/>
        <v>0</v>
      </c>
      <c r="N400" s="52">
        <f t="shared" si="213"/>
        <v>234319000</v>
      </c>
      <c r="O400" s="52">
        <f t="shared" si="213"/>
        <v>225079000</v>
      </c>
      <c r="P400" s="52">
        <f t="shared" si="213"/>
        <v>9240000</v>
      </c>
      <c r="Q400" s="52">
        <f t="shared" si="213"/>
        <v>0</v>
      </c>
    </row>
    <row r="401" spans="1:17" s="62" customFormat="1" ht="28" customHeight="1" x14ac:dyDescent="0.35">
      <c r="A401" s="241"/>
      <c r="B401" s="242"/>
      <c r="C401" s="60">
        <v>0</v>
      </c>
      <c r="D401" s="60">
        <v>0</v>
      </c>
      <c r="E401" s="60">
        <v>0</v>
      </c>
      <c r="F401" s="61" t="s">
        <v>321</v>
      </c>
      <c r="G401" s="60">
        <f t="shared" si="209"/>
        <v>148600355</v>
      </c>
      <c r="H401" s="60">
        <f t="shared" si="207"/>
        <v>141552045</v>
      </c>
      <c r="I401" s="60">
        <f t="shared" si="207"/>
        <v>7048310</v>
      </c>
      <c r="J401" s="60">
        <f>J402</f>
        <v>0</v>
      </c>
      <c r="K401" s="60">
        <f t="shared" ref="K401:Q401" si="214">K402</f>
        <v>0</v>
      </c>
      <c r="L401" s="60">
        <f t="shared" si="214"/>
        <v>0</v>
      </c>
      <c r="M401" s="60">
        <f t="shared" si="214"/>
        <v>0</v>
      </c>
      <c r="N401" s="60">
        <f t="shared" si="214"/>
        <v>148600355</v>
      </c>
      <c r="O401" s="60">
        <f t="shared" si="214"/>
        <v>141552045</v>
      </c>
      <c r="P401" s="60">
        <f t="shared" si="214"/>
        <v>7048310</v>
      </c>
      <c r="Q401" s="60">
        <f t="shared" si="214"/>
        <v>0</v>
      </c>
    </row>
    <row r="402" spans="1:17" s="62" customFormat="1" ht="28" customHeight="1" x14ac:dyDescent="0.35">
      <c r="A402" s="241"/>
      <c r="B402" s="242"/>
      <c r="C402" s="73"/>
      <c r="D402" s="73"/>
      <c r="E402" s="73"/>
      <c r="F402" s="66" t="s">
        <v>322</v>
      </c>
      <c r="G402" s="67">
        <f t="shared" si="209"/>
        <v>148600355</v>
      </c>
      <c r="H402" s="67">
        <f t="shared" si="207"/>
        <v>141552045</v>
      </c>
      <c r="I402" s="67">
        <f t="shared" si="207"/>
        <v>7048310</v>
      </c>
      <c r="J402" s="67">
        <f>K402+L402</f>
        <v>0</v>
      </c>
      <c r="K402" s="67">
        <v>0</v>
      </c>
      <c r="L402" s="67">
        <v>0</v>
      </c>
      <c r="M402" s="67">
        <v>0</v>
      </c>
      <c r="N402" s="67">
        <f>O402+P402</f>
        <v>148600355</v>
      </c>
      <c r="O402" s="67">
        <v>141552045</v>
      </c>
      <c r="P402" s="67">
        <v>7048310</v>
      </c>
      <c r="Q402" s="68">
        <v>0</v>
      </c>
    </row>
    <row r="403" spans="1:17" s="62" customFormat="1" ht="28" customHeight="1" x14ac:dyDescent="0.35">
      <c r="A403" s="241"/>
      <c r="B403" s="242"/>
      <c r="C403" s="60">
        <v>0</v>
      </c>
      <c r="D403" s="112">
        <f>G405</f>
        <v>55000000</v>
      </c>
      <c r="E403" s="60">
        <v>0</v>
      </c>
      <c r="F403" s="61" t="s">
        <v>49</v>
      </c>
      <c r="G403" s="60">
        <f t="shared" si="209"/>
        <v>85718645</v>
      </c>
      <c r="H403" s="60">
        <f t="shared" si="207"/>
        <v>83526955</v>
      </c>
      <c r="I403" s="60">
        <f t="shared" si="207"/>
        <v>2191690</v>
      </c>
      <c r="J403" s="60">
        <f>J404+J405</f>
        <v>0</v>
      </c>
      <c r="K403" s="60">
        <f t="shared" ref="K403:Q403" si="215">K404+K405</f>
        <v>0</v>
      </c>
      <c r="L403" s="60">
        <f t="shared" si="215"/>
        <v>0</v>
      </c>
      <c r="M403" s="60">
        <f t="shared" si="215"/>
        <v>0</v>
      </c>
      <c r="N403" s="60">
        <f t="shared" si="215"/>
        <v>85718645</v>
      </c>
      <c r="O403" s="60">
        <f t="shared" si="215"/>
        <v>83526955</v>
      </c>
      <c r="P403" s="60">
        <f t="shared" si="215"/>
        <v>2191690</v>
      </c>
      <c r="Q403" s="60">
        <f t="shared" si="215"/>
        <v>0</v>
      </c>
    </row>
    <row r="404" spans="1:17" s="62" customFormat="1" ht="28" customHeight="1" x14ac:dyDescent="0.35">
      <c r="A404" s="241"/>
      <c r="B404" s="242"/>
      <c r="C404" s="19"/>
      <c r="D404" s="19"/>
      <c r="E404" s="19"/>
      <c r="F404" s="66" t="s">
        <v>50</v>
      </c>
      <c r="G404" s="67">
        <f t="shared" si="209"/>
        <v>30718645</v>
      </c>
      <c r="H404" s="67">
        <f t="shared" si="207"/>
        <v>29276924</v>
      </c>
      <c r="I404" s="67">
        <f t="shared" si="207"/>
        <v>1441721</v>
      </c>
      <c r="J404" s="67">
        <f>K404+L404</f>
        <v>0</v>
      </c>
      <c r="K404" s="67">
        <v>0</v>
      </c>
      <c r="L404" s="67">
        <v>0</v>
      </c>
      <c r="M404" s="67">
        <v>0</v>
      </c>
      <c r="N404" s="67">
        <f>O404+P404</f>
        <v>30718645</v>
      </c>
      <c r="O404" s="67">
        <v>29276924</v>
      </c>
      <c r="P404" s="67">
        <v>1441721</v>
      </c>
      <c r="Q404" s="68">
        <v>0</v>
      </c>
    </row>
    <row r="405" spans="1:17" s="62" customFormat="1" ht="28" customHeight="1" x14ac:dyDescent="0.35">
      <c r="A405" s="241"/>
      <c r="B405" s="242"/>
      <c r="C405" s="73"/>
      <c r="D405" s="73"/>
      <c r="E405" s="73"/>
      <c r="F405" s="66" t="s">
        <v>372</v>
      </c>
      <c r="G405" s="103">
        <f t="shared" si="209"/>
        <v>55000000</v>
      </c>
      <c r="H405" s="103">
        <f t="shared" si="207"/>
        <v>54250031</v>
      </c>
      <c r="I405" s="103">
        <f t="shared" si="207"/>
        <v>749969</v>
      </c>
      <c r="J405" s="103">
        <f>K405+L405</f>
        <v>0</v>
      </c>
      <c r="K405" s="103">
        <v>0</v>
      </c>
      <c r="L405" s="103">
        <v>0</v>
      </c>
      <c r="M405" s="103">
        <v>0</v>
      </c>
      <c r="N405" s="103">
        <f>O405+P405</f>
        <v>55000000</v>
      </c>
      <c r="O405" s="103">
        <f>54250031</f>
        <v>54250031</v>
      </c>
      <c r="P405" s="103">
        <f>749969</f>
        <v>749969</v>
      </c>
      <c r="Q405" s="103">
        <v>0</v>
      </c>
    </row>
    <row r="406" spans="1:17" s="62" customFormat="1" ht="47" x14ac:dyDescent="0.35">
      <c r="A406" s="241" t="s">
        <v>358</v>
      </c>
      <c r="B406" s="242" t="s">
        <v>359</v>
      </c>
      <c r="C406" s="52">
        <f>C407</f>
        <v>0</v>
      </c>
      <c r="D406" s="52">
        <f>D407</f>
        <v>135000000</v>
      </c>
      <c r="E406" s="53">
        <f>E407</f>
        <v>0</v>
      </c>
      <c r="F406" s="54" t="s">
        <v>360</v>
      </c>
      <c r="G406" s="52">
        <f t="shared" si="209"/>
        <v>197910000</v>
      </c>
      <c r="H406" s="52">
        <f t="shared" si="207"/>
        <v>193800000</v>
      </c>
      <c r="I406" s="52">
        <f t="shared" si="207"/>
        <v>4110000</v>
      </c>
      <c r="J406" s="52">
        <f>J407</f>
        <v>0</v>
      </c>
      <c r="K406" s="52">
        <f t="shared" ref="K406:Q406" si="216">K407</f>
        <v>0</v>
      </c>
      <c r="L406" s="52">
        <f t="shared" si="216"/>
        <v>0</v>
      </c>
      <c r="M406" s="52">
        <f t="shared" si="216"/>
        <v>0</v>
      </c>
      <c r="N406" s="52">
        <f t="shared" si="216"/>
        <v>197910000</v>
      </c>
      <c r="O406" s="52">
        <f t="shared" si="216"/>
        <v>193800000</v>
      </c>
      <c r="P406" s="52">
        <f t="shared" si="216"/>
        <v>4110000</v>
      </c>
      <c r="Q406" s="52">
        <f t="shared" si="216"/>
        <v>0</v>
      </c>
    </row>
    <row r="407" spans="1:17" ht="28" customHeight="1" x14ac:dyDescent="0.35">
      <c r="A407" s="241"/>
      <c r="B407" s="242"/>
      <c r="C407" s="60">
        <v>0</v>
      </c>
      <c r="D407" s="112">
        <f>G409</f>
        <v>135000000</v>
      </c>
      <c r="E407" s="60">
        <v>0</v>
      </c>
      <c r="F407" s="61" t="s">
        <v>321</v>
      </c>
      <c r="G407" s="60">
        <f t="shared" si="209"/>
        <v>197910000</v>
      </c>
      <c r="H407" s="60">
        <f t="shared" ref="H407:I422" si="217">K407+O407</f>
        <v>193800000</v>
      </c>
      <c r="I407" s="60">
        <f t="shared" si="217"/>
        <v>4110000</v>
      </c>
      <c r="J407" s="60">
        <f>J408+J409</f>
        <v>0</v>
      </c>
      <c r="K407" s="60">
        <f t="shared" ref="K407:Q407" si="218">K408+K409</f>
        <v>0</v>
      </c>
      <c r="L407" s="60">
        <f t="shared" si="218"/>
        <v>0</v>
      </c>
      <c r="M407" s="60">
        <f t="shared" si="218"/>
        <v>0</v>
      </c>
      <c r="N407" s="60">
        <f t="shared" si="218"/>
        <v>197910000</v>
      </c>
      <c r="O407" s="60">
        <f t="shared" si="218"/>
        <v>193800000</v>
      </c>
      <c r="P407" s="60">
        <f t="shared" si="218"/>
        <v>4110000</v>
      </c>
      <c r="Q407" s="60">
        <f t="shared" si="218"/>
        <v>0</v>
      </c>
    </row>
    <row r="408" spans="1:17" ht="28" customHeight="1" x14ac:dyDescent="0.35">
      <c r="A408" s="241"/>
      <c r="B408" s="242"/>
      <c r="C408" s="19"/>
      <c r="D408" s="19"/>
      <c r="E408" s="19"/>
      <c r="F408" s="66" t="s">
        <v>322</v>
      </c>
      <c r="G408" s="67">
        <f t="shared" si="209"/>
        <v>62910000</v>
      </c>
      <c r="H408" s="67">
        <f t="shared" si="217"/>
        <v>58800000</v>
      </c>
      <c r="I408" s="67">
        <f t="shared" si="217"/>
        <v>4110000</v>
      </c>
      <c r="J408" s="67">
        <f>K408+L408</f>
        <v>0</v>
      </c>
      <c r="K408" s="67">
        <v>0</v>
      </c>
      <c r="L408" s="67">
        <v>0</v>
      </c>
      <c r="M408" s="67">
        <v>0</v>
      </c>
      <c r="N408" s="67">
        <f>O408+P408</f>
        <v>62910000</v>
      </c>
      <c r="O408" s="67">
        <v>58800000</v>
      </c>
      <c r="P408" s="67">
        <v>4110000</v>
      </c>
      <c r="Q408" s="68">
        <v>0</v>
      </c>
    </row>
    <row r="409" spans="1:17" ht="28" customHeight="1" x14ac:dyDescent="0.35">
      <c r="A409" s="241"/>
      <c r="B409" s="242"/>
      <c r="C409" s="19"/>
      <c r="D409" s="19"/>
      <c r="E409" s="19"/>
      <c r="F409" s="66" t="s">
        <v>323</v>
      </c>
      <c r="G409" s="103">
        <f t="shared" si="209"/>
        <v>135000000</v>
      </c>
      <c r="H409" s="103">
        <f t="shared" si="217"/>
        <v>135000000</v>
      </c>
      <c r="I409" s="103">
        <f t="shared" si="217"/>
        <v>0</v>
      </c>
      <c r="J409" s="103">
        <f>K409+L409</f>
        <v>0</v>
      </c>
      <c r="K409" s="103">
        <v>0</v>
      </c>
      <c r="L409" s="103">
        <v>0</v>
      </c>
      <c r="M409" s="103">
        <v>0</v>
      </c>
      <c r="N409" s="103">
        <f>O409+P409</f>
        <v>135000000</v>
      </c>
      <c r="O409" s="103">
        <v>135000000</v>
      </c>
      <c r="P409" s="103">
        <v>0</v>
      </c>
      <c r="Q409" s="103">
        <v>0</v>
      </c>
    </row>
    <row r="410" spans="1:17" ht="28.5" x14ac:dyDescent="0.35">
      <c r="A410" s="241" t="s">
        <v>373</v>
      </c>
      <c r="B410" s="242" t="s">
        <v>374</v>
      </c>
      <c r="C410" s="52">
        <f>C411+C416</f>
        <v>32443504</v>
      </c>
      <c r="D410" s="52">
        <f>D411+D416</f>
        <v>5000000</v>
      </c>
      <c r="E410" s="52">
        <f>E411+E416</f>
        <v>20125000</v>
      </c>
      <c r="F410" s="54" t="s">
        <v>375</v>
      </c>
      <c r="G410" s="52">
        <f t="shared" si="209"/>
        <v>60288504</v>
      </c>
      <c r="H410" s="52">
        <f t="shared" si="217"/>
        <v>52588504</v>
      </c>
      <c r="I410" s="52">
        <f t="shared" si="217"/>
        <v>7700000</v>
      </c>
      <c r="J410" s="52">
        <f>J411+J416</f>
        <v>60288504</v>
      </c>
      <c r="K410" s="52">
        <f t="shared" ref="K410:Q410" si="219">K411+K416</f>
        <v>52588504</v>
      </c>
      <c r="L410" s="52">
        <f>L411+L416</f>
        <v>7700000</v>
      </c>
      <c r="M410" s="52">
        <f t="shared" si="219"/>
        <v>0</v>
      </c>
      <c r="N410" s="52">
        <f t="shared" si="219"/>
        <v>0</v>
      </c>
      <c r="O410" s="52">
        <f t="shared" si="219"/>
        <v>0</v>
      </c>
      <c r="P410" s="52">
        <f t="shared" si="219"/>
        <v>0</v>
      </c>
      <c r="Q410" s="52">
        <f t="shared" si="219"/>
        <v>0</v>
      </c>
    </row>
    <row r="411" spans="1:17" ht="28" customHeight="1" x14ac:dyDescent="0.35">
      <c r="A411" s="241"/>
      <c r="B411" s="242"/>
      <c r="C411" s="99">
        <f>G414+G415</f>
        <v>32443504</v>
      </c>
      <c r="D411" s="60">
        <v>0</v>
      </c>
      <c r="E411" s="72">
        <f>G413</f>
        <v>20125000</v>
      </c>
      <c r="F411" s="61" t="s">
        <v>321</v>
      </c>
      <c r="G411" s="60">
        <f t="shared" si="209"/>
        <v>55288504</v>
      </c>
      <c r="H411" s="60">
        <f t="shared" si="217"/>
        <v>47588504</v>
      </c>
      <c r="I411" s="60">
        <f t="shared" si="217"/>
        <v>7700000</v>
      </c>
      <c r="J411" s="60">
        <f t="shared" ref="J411:Q411" si="220">J412+J413+J414+J415</f>
        <v>55288504</v>
      </c>
      <c r="K411" s="60">
        <f t="shared" si="220"/>
        <v>47588504</v>
      </c>
      <c r="L411" s="60">
        <f t="shared" si="220"/>
        <v>7700000</v>
      </c>
      <c r="M411" s="60">
        <f t="shared" si="220"/>
        <v>0</v>
      </c>
      <c r="N411" s="60">
        <f t="shared" si="220"/>
        <v>0</v>
      </c>
      <c r="O411" s="60">
        <f t="shared" si="220"/>
        <v>0</v>
      </c>
      <c r="P411" s="60">
        <f t="shared" si="220"/>
        <v>0</v>
      </c>
      <c r="Q411" s="60">
        <f t="shared" si="220"/>
        <v>0</v>
      </c>
    </row>
    <row r="412" spans="1:17" ht="28" customHeight="1" x14ac:dyDescent="0.35">
      <c r="A412" s="241"/>
      <c r="B412" s="242"/>
      <c r="C412" s="19"/>
      <c r="D412" s="19"/>
      <c r="E412" s="19"/>
      <c r="F412" s="66" t="s">
        <v>322</v>
      </c>
      <c r="G412" s="67">
        <f t="shared" si="209"/>
        <v>2720000</v>
      </c>
      <c r="H412" s="67">
        <f t="shared" si="217"/>
        <v>2720000</v>
      </c>
      <c r="I412" s="67">
        <f t="shared" si="217"/>
        <v>0</v>
      </c>
      <c r="J412" s="67">
        <f>K412+L412</f>
        <v>2720000</v>
      </c>
      <c r="K412" s="67">
        <v>2720000</v>
      </c>
      <c r="L412" s="67">
        <v>0</v>
      </c>
      <c r="M412" s="67">
        <v>0</v>
      </c>
      <c r="N412" s="67">
        <f>O412+P412</f>
        <v>0</v>
      </c>
      <c r="O412" s="67">
        <v>0</v>
      </c>
      <c r="P412" s="67">
        <v>0</v>
      </c>
      <c r="Q412" s="67">
        <v>0</v>
      </c>
    </row>
    <row r="413" spans="1:17" ht="28" customHeight="1" x14ac:dyDescent="0.35">
      <c r="A413" s="241"/>
      <c r="B413" s="242"/>
      <c r="C413" s="19"/>
      <c r="D413" s="19"/>
      <c r="E413" s="19"/>
      <c r="F413" s="66" t="s">
        <v>338</v>
      </c>
      <c r="G413" s="74">
        <f t="shared" si="209"/>
        <v>20125000</v>
      </c>
      <c r="H413" s="74">
        <f t="shared" si="217"/>
        <v>17425000</v>
      </c>
      <c r="I413" s="74">
        <f t="shared" si="217"/>
        <v>2700000</v>
      </c>
      <c r="J413" s="74">
        <f>K413+L413</f>
        <v>20125000</v>
      </c>
      <c r="K413" s="74">
        <v>17425000</v>
      </c>
      <c r="L413" s="74">
        <v>2700000</v>
      </c>
      <c r="M413" s="74">
        <v>0</v>
      </c>
      <c r="N413" s="74">
        <f>O413+P413</f>
        <v>0</v>
      </c>
      <c r="O413" s="74">
        <v>0</v>
      </c>
      <c r="P413" s="74">
        <v>0</v>
      </c>
      <c r="Q413" s="74">
        <v>0</v>
      </c>
    </row>
    <row r="414" spans="1:17" ht="28" customHeight="1" x14ac:dyDescent="0.35">
      <c r="A414" s="241"/>
      <c r="B414" s="242"/>
      <c r="C414" s="19"/>
      <c r="D414" s="19"/>
      <c r="E414" s="19"/>
      <c r="F414" s="66" t="s">
        <v>336</v>
      </c>
      <c r="G414" s="71">
        <f t="shared" si="209"/>
        <v>24909821</v>
      </c>
      <c r="H414" s="71">
        <f t="shared" si="217"/>
        <v>19909821</v>
      </c>
      <c r="I414" s="71">
        <f t="shared" si="217"/>
        <v>5000000</v>
      </c>
      <c r="J414" s="71">
        <f>K414+L414</f>
        <v>24909821</v>
      </c>
      <c r="K414" s="71">
        <f>38624650-3000000-1066227-400000-3500000-10748602</f>
        <v>19909821</v>
      </c>
      <c r="L414" s="71">
        <f>5000000</f>
        <v>5000000</v>
      </c>
      <c r="M414" s="71">
        <v>0</v>
      </c>
      <c r="N414" s="71">
        <f>O414+P414</f>
        <v>0</v>
      </c>
      <c r="O414" s="71">
        <v>0</v>
      </c>
      <c r="P414" s="71">
        <v>0</v>
      </c>
      <c r="Q414" s="71">
        <v>0</v>
      </c>
    </row>
    <row r="415" spans="1:17" ht="28" customHeight="1" x14ac:dyDescent="0.35">
      <c r="A415" s="241"/>
      <c r="B415" s="242"/>
      <c r="C415" s="19"/>
      <c r="D415" s="19"/>
      <c r="E415" s="19"/>
      <c r="F415" s="66" t="s">
        <v>337</v>
      </c>
      <c r="G415" s="71">
        <f t="shared" si="209"/>
        <v>7533683</v>
      </c>
      <c r="H415" s="71">
        <f t="shared" si="217"/>
        <v>7533683</v>
      </c>
      <c r="I415" s="71">
        <f t="shared" si="217"/>
        <v>0</v>
      </c>
      <c r="J415" s="71">
        <f>K415+L415</f>
        <v>7533683</v>
      </c>
      <c r="K415" s="71">
        <f>16300350-111249-540000-8115418</f>
        <v>7533683</v>
      </c>
      <c r="L415" s="71">
        <v>0</v>
      </c>
      <c r="M415" s="71">
        <v>0</v>
      </c>
      <c r="N415" s="71">
        <f>O415+P415</f>
        <v>0</v>
      </c>
      <c r="O415" s="71">
        <v>0</v>
      </c>
      <c r="P415" s="71">
        <v>0</v>
      </c>
      <c r="Q415" s="71">
        <v>0</v>
      </c>
    </row>
    <row r="416" spans="1:17" ht="28" customHeight="1" x14ac:dyDescent="0.35">
      <c r="A416" s="241"/>
      <c r="B416" s="242"/>
      <c r="C416" s="60">
        <v>0</v>
      </c>
      <c r="D416" s="102">
        <f>G417</f>
        <v>5000000</v>
      </c>
      <c r="E416" s="60">
        <v>0</v>
      </c>
      <c r="F416" s="61" t="s">
        <v>186</v>
      </c>
      <c r="G416" s="60">
        <f t="shared" si="209"/>
        <v>5000000</v>
      </c>
      <c r="H416" s="60">
        <f t="shared" si="217"/>
        <v>5000000</v>
      </c>
      <c r="I416" s="60">
        <f t="shared" si="217"/>
        <v>0</v>
      </c>
      <c r="J416" s="60">
        <f>J417</f>
        <v>5000000</v>
      </c>
      <c r="K416" s="60">
        <f t="shared" ref="K416:Q416" si="221">K417</f>
        <v>5000000</v>
      </c>
      <c r="L416" s="60">
        <f t="shared" si="221"/>
        <v>0</v>
      </c>
      <c r="M416" s="60">
        <f t="shared" si="221"/>
        <v>0</v>
      </c>
      <c r="N416" s="60">
        <f t="shared" si="221"/>
        <v>0</v>
      </c>
      <c r="O416" s="60">
        <f t="shared" si="221"/>
        <v>0</v>
      </c>
      <c r="P416" s="60">
        <f t="shared" si="221"/>
        <v>0</v>
      </c>
      <c r="Q416" s="60">
        <f t="shared" si="221"/>
        <v>0</v>
      </c>
    </row>
    <row r="417" spans="1:17" ht="28" customHeight="1" x14ac:dyDescent="0.35">
      <c r="A417" s="241"/>
      <c r="B417" s="242"/>
      <c r="C417" s="19"/>
      <c r="D417" s="19"/>
      <c r="E417" s="19"/>
      <c r="F417" s="66" t="s">
        <v>187</v>
      </c>
      <c r="G417" s="103">
        <f t="shared" si="209"/>
        <v>5000000</v>
      </c>
      <c r="H417" s="103">
        <f t="shared" si="217"/>
        <v>5000000</v>
      </c>
      <c r="I417" s="103">
        <f t="shared" si="217"/>
        <v>0</v>
      </c>
      <c r="J417" s="103">
        <f>K417+L417</f>
        <v>5000000</v>
      </c>
      <c r="K417" s="103">
        <v>5000000</v>
      </c>
      <c r="L417" s="103">
        <v>0</v>
      </c>
      <c r="M417" s="103">
        <v>0</v>
      </c>
      <c r="N417" s="103">
        <f>O417+P417</f>
        <v>0</v>
      </c>
      <c r="O417" s="103">
        <v>0</v>
      </c>
      <c r="P417" s="103">
        <v>0</v>
      </c>
      <c r="Q417" s="103">
        <v>0</v>
      </c>
    </row>
    <row r="418" spans="1:17" ht="47.15" customHeight="1" x14ac:dyDescent="0.35">
      <c r="A418" s="241" t="s">
        <v>376</v>
      </c>
      <c r="B418" s="242" t="s">
        <v>377</v>
      </c>
      <c r="C418" s="52">
        <f>C419+C423</f>
        <v>70105720</v>
      </c>
      <c r="D418" s="52">
        <f>D419+D423</f>
        <v>0</v>
      </c>
      <c r="E418" s="53">
        <f>E419+E423</f>
        <v>0</v>
      </c>
      <c r="F418" s="54" t="s">
        <v>378</v>
      </c>
      <c r="G418" s="52">
        <f t="shared" si="209"/>
        <v>201175720</v>
      </c>
      <c r="H418" s="52">
        <f t="shared" si="217"/>
        <v>193525720</v>
      </c>
      <c r="I418" s="52">
        <f t="shared" si="217"/>
        <v>7650000</v>
      </c>
      <c r="J418" s="52">
        <f>J419+J423</f>
        <v>201175720</v>
      </c>
      <c r="K418" s="52">
        <f t="shared" ref="K418:Q418" si="222">K419+K423</f>
        <v>193525720</v>
      </c>
      <c r="L418" s="52">
        <f t="shared" si="222"/>
        <v>7650000</v>
      </c>
      <c r="M418" s="52">
        <f t="shared" si="222"/>
        <v>0</v>
      </c>
      <c r="N418" s="52">
        <f t="shared" si="222"/>
        <v>0</v>
      </c>
      <c r="O418" s="52">
        <f t="shared" si="222"/>
        <v>0</v>
      </c>
      <c r="P418" s="52">
        <f t="shared" si="222"/>
        <v>0</v>
      </c>
      <c r="Q418" s="52">
        <f t="shared" si="222"/>
        <v>0</v>
      </c>
    </row>
    <row r="419" spans="1:17" ht="28" customHeight="1" x14ac:dyDescent="0.35">
      <c r="A419" s="241"/>
      <c r="B419" s="242"/>
      <c r="C419" s="99">
        <f>G421+G422</f>
        <v>47888819</v>
      </c>
      <c r="D419" s="60">
        <v>0</v>
      </c>
      <c r="E419" s="60">
        <v>0</v>
      </c>
      <c r="F419" s="61" t="s">
        <v>321</v>
      </c>
      <c r="G419" s="60">
        <f t="shared" si="209"/>
        <v>97458819</v>
      </c>
      <c r="H419" s="60">
        <f t="shared" si="217"/>
        <v>93808819</v>
      </c>
      <c r="I419" s="60">
        <f t="shared" si="217"/>
        <v>3650000</v>
      </c>
      <c r="J419" s="60">
        <f>J420+J421+J422</f>
        <v>97458819</v>
      </c>
      <c r="K419" s="60">
        <f t="shared" ref="K419:Q419" si="223">K420+K421+K422</f>
        <v>93808819</v>
      </c>
      <c r="L419" s="60">
        <f t="shared" si="223"/>
        <v>3650000</v>
      </c>
      <c r="M419" s="60">
        <f t="shared" si="223"/>
        <v>0</v>
      </c>
      <c r="N419" s="60">
        <f t="shared" si="223"/>
        <v>0</v>
      </c>
      <c r="O419" s="60">
        <f t="shared" si="223"/>
        <v>0</v>
      </c>
      <c r="P419" s="60">
        <f t="shared" si="223"/>
        <v>0</v>
      </c>
      <c r="Q419" s="60">
        <f t="shared" si="223"/>
        <v>0</v>
      </c>
    </row>
    <row r="420" spans="1:17" ht="28" customHeight="1" x14ac:dyDescent="0.35">
      <c r="A420" s="241"/>
      <c r="B420" s="242"/>
      <c r="C420" s="115"/>
      <c r="D420" s="116"/>
      <c r="E420" s="116"/>
      <c r="F420" s="66" t="s">
        <v>322</v>
      </c>
      <c r="G420" s="67">
        <f t="shared" si="209"/>
        <v>49570000</v>
      </c>
      <c r="H420" s="67">
        <f t="shared" si="217"/>
        <v>45920000</v>
      </c>
      <c r="I420" s="67">
        <f t="shared" si="217"/>
        <v>3650000</v>
      </c>
      <c r="J420" s="67">
        <f>K420+L420</f>
        <v>49570000</v>
      </c>
      <c r="K420" s="67">
        <v>45920000</v>
      </c>
      <c r="L420" s="67">
        <v>3650000</v>
      </c>
      <c r="M420" s="68">
        <v>0</v>
      </c>
      <c r="N420" s="68">
        <f>O420+P420</f>
        <v>0</v>
      </c>
      <c r="O420" s="68">
        <v>0</v>
      </c>
      <c r="P420" s="68">
        <v>0</v>
      </c>
      <c r="Q420" s="68">
        <v>0</v>
      </c>
    </row>
    <row r="421" spans="1:17" ht="28" customHeight="1" x14ac:dyDescent="0.35">
      <c r="A421" s="241"/>
      <c r="B421" s="242"/>
      <c r="C421" s="115"/>
      <c r="D421" s="116"/>
      <c r="E421" s="116"/>
      <c r="F421" s="66" t="s">
        <v>336</v>
      </c>
      <c r="G421" s="71">
        <f t="shared" si="209"/>
        <v>46143724</v>
      </c>
      <c r="H421" s="71">
        <f t="shared" si="217"/>
        <v>46143724</v>
      </c>
      <c r="I421" s="71">
        <f t="shared" si="217"/>
        <v>0</v>
      </c>
      <c r="J421" s="71">
        <f>K421+L421</f>
        <v>46143724</v>
      </c>
      <c r="K421" s="71">
        <f>40510000+593485+400000+3500000+1140239</f>
        <v>46143724</v>
      </c>
      <c r="L421" s="71">
        <v>0</v>
      </c>
      <c r="M421" s="71">
        <v>0</v>
      </c>
      <c r="N421" s="71">
        <f>O421+P421</f>
        <v>0</v>
      </c>
      <c r="O421" s="71">
        <v>0</v>
      </c>
      <c r="P421" s="71">
        <v>0</v>
      </c>
      <c r="Q421" s="71">
        <v>0</v>
      </c>
    </row>
    <row r="422" spans="1:17" ht="28" customHeight="1" x14ac:dyDescent="0.35">
      <c r="A422" s="241"/>
      <c r="B422" s="242"/>
      <c r="C422" s="115"/>
      <c r="D422" s="116"/>
      <c r="E422" s="116"/>
      <c r="F422" s="66" t="s">
        <v>337</v>
      </c>
      <c r="G422" s="71">
        <f t="shared" si="209"/>
        <v>1745095</v>
      </c>
      <c r="H422" s="71">
        <f t="shared" si="217"/>
        <v>1745095</v>
      </c>
      <c r="I422" s="71">
        <f t="shared" si="217"/>
        <v>0</v>
      </c>
      <c r="J422" s="71">
        <f>K422+L422</f>
        <v>1745095</v>
      </c>
      <c r="K422" s="71">
        <f>2750000+540000-1544905</f>
        <v>1745095</v>
      </c>
      <c r="L422" s="71">
        <v>0</v>
      </c>
      <c r="M422" s="71">
        <v>0</v>
      </c>
      <c r="N422" s="71">
        <f>O422+P422</f>
        <v>0</v>
      </c>
      <c r="O422" s="71">
        <v>0</v>
      </c>
      <c r="P422" s="71">
        <v>0</v>
      </c>
      <c r="Q422" s="71">
        <v>0</v>
      </c>
    </row>
    <row r="423" spans="1:17" ht="28" customHeight="1" x14ac:dyDescent="0.35">
      <c r="A423" s="241"/>
      <c r="B423" s="242"/>
      <c r="C423" s="99">
        <f>G425+G426</f>
        <v>22216901</v>
      </c>
      <c r="D423" s="60">
        <v>0</v>
      </c>
      <c r="E423" s="60">
        <v>0</v>
      </c>
      <c r="F423" s="61" t="s">
        <v>49</v>
      </c>
      <c r="G423" s="60">
        <f t="shared" si="209"/>
        <v>103716901</v>
      </c>
      <c r="H423" s="60">
        <f t="shared" ref="H423:I441" si="224">K423+O423</f>
        <v>99716901</v>
      </c>
      <c r="I423" s="60">
        <f t="shared" si="224"/>
        <v>4000000</v>
      </c>
      <c r="J423" s="60">
        <f>J424+J425+J426</f>
        <v>103716901</v>
      </c>
      <c r="K423" s="60">
        <f t="shared" ref="K423:Q423" si="225">K424+K425+K426</f>
        <v>99716901</v>
      </c>
      <c r="L423" s="60">
        <f t="shared" si="225"/>
        <v>4000000</v>
      </c>
      <c r="M423" s="60">
        <f t="shared" si="225"/>
        <v>0</v>
      </c>
      <c r="N423" s="60">
        <f t="shared" si="225"/>
        <v>0</v>
      </c>
      <c r="O423" s="60">
        <f t="shared" si="225"/>
        <v>0</v>
      </c>
      <c r="P423" s="60">
        <f t="shared" si="225"/>
        <v>0</v>
      </c>
      <c r="Q423" s="60">
        <f t="shared" si="225"/>
        <v>0</v>
      </c>
    </row>
    <row r="424" spans="1:17" ht="28" customHeight="1" x14ac:dyDescent="0.35">
      <c r="A424" s="241"/>
      <c r="B424" s="242"/>
      <c r="C424" s="115"/>
      <c r="D424" s="117"/>
      <c r="E424" s="117"/>
      <c r="F424" s="66" t="s">
        <v>50</v>
      </c>
      <c r="G424" s="67">
        <f t="shared" si="209"/>
        <v>81500000</v>
      </c>
      <c r="H424" s="67">
        <f t="shared" si="224"/>
        <v>81500000</v>
      </c>
      <c r="I424" s="67">
        <f t="shared" si="224"/>
        <v>0</v>
      </c>
      <c r="J424" s="67">
        <f>K424+L424</f>
        <v>81500000</v>
      </c>
      <c r="K424" s="67">
        <v>81500000</v>
      </c>
      <c r="L424" s="67">
        <v>0</v>
      </c>
      <c r="M424" s="68">
        <v>0</v>
      </c>
      <c r="N424" s="68">
        <f>O424+P424</f>
        <v>0</v>
      </c>
      <c r="O424" s="68">
        <v>0</v>
      </c>
      <c r="P424" s="68">
        <v>0</v>
      </c>
      <c r="Q424" s="68">
        <v>0</v>
      </c>
    </row>
    <row r="425" spans="1:17" ht="28" customHeight="1" x14ac:dyDescent="0.35">
      <c r="A425" s="241"/>
      <c r="B425" s="242"/>
      <c r="C425" s="115"/>
      <c r="D425" s="117"/>
      <c r="E425" s="117"/>
      <c r="F425" s="66" t="s">
        <v>379</v>
      </c>
      <c r="G425" s="71">
        <f t="shared" si="209"/>
        <v>22216901</v>
      </c>
      <c r="H425" s="71">
        <f t="shared" si="224"/>
        <v>18216901</v>
      </c>
      <c r="I425" s="71">
        <f t="shared" si="224"/>
        <v>4000000</v>
      </c>
      <c r="J425" s="71">
        <f>K425+L425</f>
        <v>22216901</v>
      </c>
      <c r="K425" s="71">
        <f>16500000+1716901</f>
        <v>18216901</v>
      </c>
      <c r="L425" s="71">
        <f>4000000</f>
        <v>4000000</v>
      </c>
      <c r="M425" s="71">
        <v>0</v>
      </c>
      <c r="N425" s="71">
        <f>O425+P425</f>
        <v>0</v>
      </c>
      <c r="O425" s="71">
        <v>0</v>
      </c>
      <c r="P425" s="71">
        <v>0</v>
      </c>
      <c r="Q425" s="71">
        <v>0</v>
      </c>
    </row>
    <row r="426" spans="1:17" ht="28" customHeight="1" x14ac:dyDescent="0.35">
      <c r="A426" s="241"/>
      <c r="B426" s="242"/>
      <c r="C426" s="115"/>
      <c r="D426" s="117"/>
      <c r="E426" s="117"/>
      <c r="F426" s="66" t="s">
        <v>380</v>
      </c>
      <c r="G426" s="71">
        <f t="shared" si="209"/>
        <v>0</v>
      </c>
      <c r="H426" s="71">
        <f t="shared" si="224"/>
        <v>0</v>
      </c>
      <c r="I426" s="71">
        <f t="shared" si="224"/>
        <v>0</v>
      </c>
      <c r="J426" s="71">
        <f>K426+L426</f>
        <v>0</v>
      </c>
      <c r="K426" s="71">
        <v>0</v>
      </c>
      <c r="L426" s="71">
        <v>0</v>
      </c>
      <c r="M426" s="71">
        <v>0</v>
      </c>
      <c r="N426" s="71">
        <f>O426+P426</f>
        <v>0</v>
      </c>
      <c r="O426" s="71">
        <v>0</v>
      </c>
      <c r="P426" s="71">
        <v>0</v>
      </c>
      <c r="Q426" s="71">
        <v>0</v>
      </c>
    </row>
    <row r="427" spans="1:17" ht="28.5" x14ac:dyDescent="0.35">
      <c r="A427" s="241" t="s">
        <v>381</v>
      </c>
      <c r="B427" s="242" t="s">
        <v>382</v>
      </c>
      <c r="C427" s="52">
        <f>C428</f>
        <v>0</v>
      </c>
      <c r="D427" s="52">
        <f>D428</f>
        <v>0</v>
      </c>
      <c r="E427" s="53">
        <f>E428</f>
        <v>0</v>
      </c>
      <c r="F427" s="54" t="s">
        <v>383</v>
      </c>
      <c r="G427" s="52">
        <f t="shared" si="209"/>
        <v>234150000</v>
      </c>
      <c r="H427" s="52">
        <f t="shared" si="224"/>
        <v>234150000</v>
      </c>
      <c r="I427" s="52">
        <f t="shared" si="224"/>
        <v>0</v>
      </c>
      <c r="J427" s="52">
        <f>J428</f>
        <v>234150000</v>
      </c>
      <c r="K427" s="52">
        <f t="shared" ref="K427:Q428" si="226">K428</f>
        <v>234150000</v>
      </c>
      <c r="L427" s="52">
        <f t="shared" si="226"/>
        <v>0</v>
      </c>
      <c r="M427" s="52">
        <f t="shared" si="226"/>
        <v>0</v>
      </c>
      <c r="N427" s="52">
        <f t="shared" si="226"/>
        <v>0</v>
      </c>
      <c r="O427" s="52">
        <f t="shared" si="226"/>
        <v>0</v>
      </c>
      <c r="P427" s="52">
        <f t="shared" si="226"/>
        <v>0</v>
      </c>
      <c r="Q427" s="52">
        <f t="shared" si="226"/>
        <v>0</v>
      </c>
    </row>
    <row r="428" spans="1:17" ht="28" customHeight="1" x14ac:dyDescent="0.35">
      <c r="A428" s="241"/>
      <c r="B428" s="242"/>
      <c r="C428" s="60">
        <v>0</v>
      </c>
      <c r="D428" s="60">
        <v>0</v>
      </c>
      <c r="E428" s="60">
        <v>0</v>
      </c>
      <c r="F428" s="61" t="s">
        <v>36</v>
      </c>
      <c r="G428" s="60">
        <f t="shared" si="209"/>
        <v>234150000</v>
      </c>
      <c r="H428" s="60">
        <f t="shared" si="224"/>
        <v>234150000</v>
      </c>
      <c r="I428" s="60">
        <f t="shared" si="224"/>
        <v>0</v>
      </c>
      <c r="J428" s="60">
        <f>J429</f>
        <v>234150000</v>
      </c>
      <c r="K428" s="60">
        <f t="shared" si="226"/>
        <v>234150000</v>
      </c>
      <c r="L428" s="60">
        <f t="shared" si="226"/>
        <v>0</v>
      </c>
      <c r="M428" s="60">
        <f t="shared" si="226"/>
        <v>0</v>
      </c>
      <c r="N428" s="60">
        <f t="shared" si="226"/>
        <v>0</v>
      </c>
      <c r="O428" s="60">
        <f t="shared" si="226"/>
        <v>0</v>
      </c>
      <c r="P428" s="60">
        <f t="shared" si="226"/>
        <v>0</v>
      </c>
      <c r="Q428" s="60">
        <f t="shared" si="226"/>
        <v>0</v>
      </c>
    </row>
    <row r="429" spans="1:17" ht="28" customHeight="1" x14ac:dyDescent="0.35">
      <c r="A429" s="241"/>
      <c r="B429" s="242"/>
      <c r="C429" s="19"/>
      <c r="D429" s="19"/>
      <c r="E429" s="19"/>
      <c r="F429" s="66" t="s">
        <v>37</v>
      </c>
      <c r="G429" s="67">
        <f t="shared" si="209"/>
        <v>234150000</v>
      </c>
      <c r="H429" s="67">
        <f t="shared" si="224"/>
        <v>234150000</v>
      </c>
      <c r="I429" s="67">
        <f t="shared" si="224"/>
        <v>0</v>
      </c>
      <c r="J429" s="67">
        <f>K429+L429</f>
        <v>234150000</v>
      </c>
      <c r="K429" s="67">
        <v>234150000</v>
      </c>
      <c r="L429" s="67">
        <v>0</v>
      </c>
      <c r="M429" s="67">
        <v>0</v>
      </c>
      <c r="N429" s="67">
        <f>O429+P429</f>
        <v>0</v>
      </c>
      <c r="O429" s="67">
        <v>0</v>
      </c>
      <c r="P429" s="67">
        <v>0</v>
      </c>
      <c r="Q429" s="67">
        <v>0</v>
      </c>
    </row>
    <row r="430" spans="1:17" ht="30" customHeight="1" x14ac:dyDescent="0.35">
      <c r="A430" s="45" t="s">
        <v>384</v>
      </c>
      <c r="B430" s="46" t="s">
        <v>385</v>
      </c>
      <c r="C430" s="47">
        <f>C431+C435</f>
        <v>0</v>
      </c>
      <c r="D430" s="47">
        <f>D431+D435</f>
        <v>301000000</v>
      </c>
      <c r="E430" s="48">
        <f>E431+E435</f>
        <v>0</v>
      </c>
      <c r="F430" s="49"/>
      <c r="G430" s="48">
        <f>H430+I430</f>
        <v>301000000</v>
      </c>
      <c r="H430" s="48">
        <f t="shared" si="224"/>
        <v>298000000</v>
      </c>
      <c r="I430" s="48">
        <f t="shared" si="224"/>
        <v>3000000</v>
      </c>
      <c r="J430" s="48">
        <f>J431+J435</f>
        <v>99000000</v>
      </c>
      <c r="K430" s="48">
        <f t="shared" ref="K430:Q430" si="227">K431+K435</f>
        <v>99000000</v>
      </c>
      <c r="L430" s="48">
        <f t="shared" si="227"/>
        <v>0</v>
      </c>
      <c r="M430" s="48">
        <f t="shared" si="227"/>
        <v>0</v>
      </c>
      <c r="N430" s="48">
        <f t="shared" si="227"/>
        <v>202000000</v>
      </c>
      <c r="O430" s="48">
        <f t="shared" si="227"/>
        <v>199000000</v>
      </c>
      <c r="P430" s="48">
        <f t="shared" si="227"/>
        <v>3000000</v>
      </c>
      <c r="Q430" s="48">
        <f t="shared" si="227"/>
        <v>0</v>
      </c>
    </row>
    <row r="431" spans="1:17" ht="47" x14ac:dyDescent="0.35">
      <c r="A431" s="241" t="s">
        <v>386</v>
      </c>
      <c r="B431" s="242" t="s">
        <v>387</v>
      </c>
      <c r="C431" s="52">
        <f>C432</f>
        <v>0</v>
      </c>
      <c r="D431" s="52">
        <f>D432</f>
        <v>202000000</v>
      </c>
      <c r="E431" s="53">
        <f>E432</f>
        <v>0</v>
      </c>
      <c r="F431" s="54" t="s">
        <v>388</v>
      </c>
      <c r="G431" s="52">
        <f>J431+M431+N431+Q431</f>
        <v>202000000</v>
      </c>
      <c r="H431" s="52">
        <f t="shared" si="224"/>
        <v>199000000</v>
      </c>
      <c r="I431" s="52">
        <f t="shared" si="224"/>
        <v>3000000</v>
      </c>
      <c r="J431" s="52">
        <f t="shared" ref="J431:Q431" si="228">J432</f>
        <v>0</v>
      </c>
      <c r="K431" s="52">
        <f t="shared" si="228"/>
        <v>0</v>
      </c>
      <c r="L431" s="52">
        <f t="shared" si="228"/>
        <v>0</v>
      </c>
      <c r="M431" s="52">
        <f t="shared" si="228"/>
        <v>0</v>
      </c>
      <c r="N431" s="52">
        <f t="shared" si="228"/>
        <v>202000000</v>
      </c>
      <c r="O431" s="52">
        <f t="shared" si="228"/>
        <v>199000000</v>
      </c>
      <c r="P431" s="52">
        <f t="shared" si="228"/>
        <v>3000000</v>
      </c>
      <c r="Q431" s="52">
        <f t="shared" si="228"/>
        <v>0</v>
      </c>
    </row>
    <row r="432" spans="1:17" ht="28" customHeight="1" x14ac:dyDescent="0.35">
      <c r="A432" s="241"/>
      <c r="B432" s="242"/>
      <c r="C432" s="60">
        <v>0</v>
      </c>
      <c r="D432" s="112">
        <f>G434</f>
        <v>202000000</v>
      </c>
      <c r="E432" s="60">
        <v>0</v>
      </c>
      <c r="F432" s="61" t="s">
        <v>186</v>
      </c>
      <c r="G432" s="60">
        <f>J432+M432+N432</f>
        <v>202000000</v>
      </c>
      <c r="H432" s="60">
        <f t="shared" si="224"/>
        <v>199000000</v>
      </c>
      <c r="I432" s="60">
        <f t="shared" si="224"/>
        <v>3000000</v>
      </c>
      <c r="J432" s="60">
        <v>0</v>
      </c>
      <c r="K432" s="60">
        <f>J432-L432</f>
        <v>0</v>
      </c>
      <c r="L432" s="60">
        <v>0</v>
      </c>
      <c r="M432" s="60">
        <v>0</v>
      </c>
      <c r="N432" s="60">
        <f>SUM(O432:P432)</f>
        <v>202000000</v>
      </c>
      <c r="O432" s="77">
        <f>O433+O434</f>
        <v>199000000</v>
      </c>
      <c r="P432" s="77">
        <f>P433+P434</f>
        <v>3000000</v>
      </c>
      <c r="Q432" s="60">
        <v>0</v>
      </c>
    </row>
    <row r="433" spans="1:17" ht="28" customHeight="1" x14ac:dyDescent="0.35">
      <c r="A433" s="241"/>
      <c r="B433" s="242"/>
      <c r="C433" s="19"/>
      <c r="D433" s="19"/>
      <c r="E433" s="19"/>
      <c r="F433" s="66" t="s">
        <v>389</v>
      </c>
      <c r="G433" s="67">
        <f>J433+M433+N433+Q433</f>
        <v>0</v>
      </c>
      <c r="H433" s="67">
        <f t="shared" si="224"/>
        <v>0</v>
      </c>
      <c r="I433" s="67">
        <f t="shared" si="224"/>
        <v>0</v>
      </c>
      <c r="J433" s="67">
        <f>J432-J434</f>
        <v>0</v>
      </c>
      <c r="K433" s="67">
        <f>K432-K434</f>
        <v>0</v>
      </c>
      <c r="L433" s="67">
        <f>L432-L434</f>
        <v>0</v>
      </c>
      <c r="M433" s="67">
        <f>M432-M434</f>
        <v>0</v>
      </c>
      <c r="N433" s="67">
        <f>O433+P433</f>
        <v>0</v>
      </c>
      <c r="O433" s="67">
        <v>0</v>
      </c>
      <c r="P433" s="67">
        <v>0</v>
      </c>
      <c r="Q433" s="67">
        <f>Q432-Q434</f>
        <v>0</v>
      </c>
    </row>
    <row r="434" spans="1:17" ht="28" customHeight="1" x14ac:dyDescent="0.35">
      <c r="A434" s="241"/>
      <c r="B434" s="242"/>
      <c r="C434" s="19"/>
      <c r="D434" s="19"/>
      <c r="E434" s="19"/>
      <c r="F434" s="66" t="s">
        <v>187</v>
      </c>
      <c r="G434" s="103">
        <f>J434+M434+N434+Q434</f>
        <v>202000000</v>
      </c>
      <c r="H434" s="103">
        <f t="shared" si="224"/>
        <v>199000000</v>
      </c>
      <c r="I434" s="103">
        <f t="shared" si="224"/>
        <v>3000000</v>
      </c>
      <c r="J434" s="103">
        <f>J432</f>
        <v>0</v>
      </c>
      <c r="K434" s="103">
        <f>K432</f>
        <v>0</v>
      </c>
      <c r="L434" s="103">
        <f>L432</f>
        <v>0</v>
      </c>
      <c r="M434" s="103">
        <f>M432</f>
        <v>0</v>
      </c>
      <c r="N434" s="103">
        <f>O434+P434</f>
        <v>202000000</v>
      </c>
      <c r="O434" s="103">
        <f>167000000+32000000</f>
        <v>199000000</v>
      </c>
      <c r="P434" s="103">
        <v>3000000</v>
      </c>
      <c r="Q434" s="103">
        <f>Q432</f>
        <v>0</v>
      </c>
    </row>
    <row r="435" spans="1:17" ht="83.15" customHeight="1" x14ac:dyDescent="0.35">
      <c r="A435" s="241" t="s">
        <v>373</v>
      </c>
      <c r="B435" s="242" t="s">
        <v>374</v>
      </c>
      <c r="C435" s="52">
        <f>C436</f>
        <v>0</v>
      </c>
      <c r="D435" s="52">
        <f>D436</f>
        <v>99000000</v>
      </c>
      <c r="E435" s="53">
        <f>E436</f>
        <v>0</v>
      </c>
      <c r="F435" s="54" t="s">
        <v>375</v>
      </c>
      <c r="G435" s="52">
        <f>J435+M435+N435+Q435</f>
        <v>99000000</v>
      </c>
      <c r="H435" s="52">
        <f t="shared" si="224"/>
        <v>99000000</v>
      </c>
      <c r="I435" s="52">
        <f t="shared" si="224"/>
        <v>0</v>
      </c>
      <c r="J435" s="52">
        <f t="shared" ref="J435:Q435" si="229">J436</f>
        <v>99000000</v>
      </c>
      <c r="K435" s="52">
        <f t="shared" si="229"/>
        <v>99000000</v>
      </c>
      <c r="L435" s="52">
        <f t="shared" si="229"/>
        <v>0</v>
      </c>
      <c r="M435" s="52">
        <f t="shared" si="229"/>
        <v>0</v>
      </c>
      <c r="N435" s="52">
        <f t="shared" si="229"/>
        <v>0</v>
      </c>
      <c r="O435" s="52">
        <f t="shared" si="229"/>
        <v>0</v>
      </c>
      <c r="P435" s="52">
        <f t="shared" si="229"/>
        <v>0</v>
      </c>
      <c r="Q435" s="52">
        <f t="shared" si="229"/>
        <v>0</v>
      </c>
    </row>
    <row r="436" spans="1:17" ht="28" customHeight="1" x14ac:dyDescent="0.35">
      <c r="A436" s="241"/>
      <c r="B436" s="242"/>
      <c r="C436" s="60">
        <v>0</v>
      </c>
      <c r="D436" s="112">
        <f>G438</f>
        <v>99000000</v>
      </c>
      <c r="E436" s="60">
        <v>0</v>
      </c>
      <c r="F436" s="61" t="s">
        <v>186</v>
      </c>
      <c r="G436" s="60">
        <f>J436+M436+N436</f>
        <v>99000000</v>
      </c>
      <c r="H436" s="60">
        <f t="shared" si="224"/>
        <v>99000000</v>
      </c>
      <c r="I436" s="60">
        <f t="shared" si="224"/>
        <v>0</v>
      </c>
      <c r="J436" s="60">
        <v>99000000</v>
      </c>
      <c r="K436" s="60">
        <f>J436-L436</f>
        <v>99000000</v>
      </c>
      <c r="L436" s="60">
        <v>0</v>
      </c>
      <c r="M436" s="60">
        <v>0</v>
      </c>
      <c r="N436" s="60">
        <f>SUM(O436:P436)</f>
        <v>0</v>
      </c>
      <c r="O436" s="77">
        <v>0</v>
      </c>
      <c r="P436" s="77">
        <v>0</v>
      </c>
      <c r="Q436" s="60">
        <v>0</v>
      </c>
    </row>
    <row r="437" spans="1:17" ht="28" customHeight="1" x14ac:dyDescent="0.35">
      <c r="A437" s="241"/>
      <c r="B437" s="242"/>
      <c r="C437" s="19"/>
      <c r="D437" s="19"/>
      <c r="E437" s="19"/>
      <c r="F437" s="66" t="s">
        <v>389</v>
      </c>
      <c r="G437" s="67">
        <f>J437+M437+N437+Q437</f>
        <v>0</v>
      </c>
      <c r="H437" s="67">
        <f t="shared" si="224"/>
        <v>0</v>
      </c>
      <c r="I437" s="67">
        <f t="shared" si="224"/>
        <v>0</v>
      </c>
      <c r="J437" s="68">
        <f t="shared" ref="J437:P437" si="230">J436-J438</f>
        <v>0</v>
      </c>
      <c r="K437" s="68">
        <f t="shared" si="230"/>
        <v>0</v>
      </c>
      <c r="L437" s="68">
        <f t="shared" si="230"/>
        <v>0</v>
      </c>
      <c r="M437" s="68">
        <f t="shared" si="230"/>
        <v>0</v>
      </c>
      <c r="N437" s="68">
        <f t="shared" si="230"/>
        <v>0</v>
      </c>
      <c r="O437" s="68">
        <f t="shared" si="230"/>
        <v>0</v>
      </c>
      <c r="P437" s="68">
        <f t="shared" si="230"/>
        <v>0</v>
      </c>
      <c r="Q437" s="68">
        <f>Q436-Q438</f>
        <v>0</v>
      </c>
    </row>
    <row r="438" spans="1:17" ht="28" customHeight="1" x14ac:dyDescent="0.35">
      <c r="A438" s="241"/>
      <c r="B438" s="242"/>
      <c r="C438" s="19"/>
      <c r="D438" s="19"/>
      <c r="E438" s="19"/>
      <c r="F438" s="66" t="s">
        <v>187</v>
      </c>
      <c r="G438" s="103">
        <f>J438+M438+N438+Q438</f>
        <v>99000000</v>
      </c>
      <c r="H438" s="103">
        <f t="shared" si="224"/>
        <v>99000000</v>
      </c>
      <c r="I438" s="103">
        <f t="shared" si="224"/>
        <v>0</v>
      </c>
      <c r="J438" s="103">
        <f t="shared" ref="J438:P438" si="231">J436</f>
        <v>99000000</v>
      </c>
      <c r="K438" s="103">
        <f t="shared" si="231"/>
        <v>99000000</v>
      </c>
      <c r="L438" s="103">
        <f t="shared" si="231"/>
        <v>0</v>
      </c>
      <c r="M438" s="103">
        <f t="shared" si="231"/>
        <v>0</v>
      </c>
      <c r="N438" s="103">
        <f t="shared" si="231"/>
        <v>0</v>
      </c>
      <c r="O438" s="103">
        <f t="shared" si="231"/>
        <v>0</v>
      </c>
      <c r="P438" s="103">
        <f t="shared" si="231"/>
        <v>0</v>
      </c>
      <c r="Q438" s="103">
        <f>Q436</f>
        <v>0</v>
      </c>
    </row>
    <row r="439" spans="1:17" ht="30" customHeight="1" x14ac:dyDescent="0.35">
      <c r="A439" s="45" t="s">
        <v>390</v>
      </c>
      <c r="B439" s="46" t="s">
        <v>391</v>
      </c>
      <c r="C439" s="47">
        <f>C440+C443+C446</f>
        <v>0</v>
      </c>
      <c r="D439" s="47">
        <f>D440+D443+D446</f>
        <v>0</v>
      </c>
      <c r="E439" s="48">
        <f>E440+E443+E446</f>
        <v>0</v>
      </c>
      <c r="F439" s="49"/>
      <c r="G439" s="48">
        <f>H439+I439</f>
        <v>68153000</v>
      </c>
      <c r="H439" s="48">
        <f t="shared" si="224"/>
        <v>65578000</v>
      </c>
      <c r="I439" s="48">
        <f t="shared" si="224"/>
        <v>2575000</v>
      </c>
      <c r="J439" s="48">
        <f t="shared" ref="J439:Q439" si="232">J440+J443+J446</f>
        <v>0</v>
      </c>
      <c r="K439" s="48">
        <f t="shared" si="232"/>
        <v>0</v>
      </c>
      <c r="L439" s="48">
        <f t="shared" si="232"/>
        <v>0</v>
      </c>
      <c r="M439" s="48">
        <f t="shared" si="232"/>
        <v>0</v>
      </c>
      <c r="N439" s="48">
        <f t="shared" si="232"/>
        <v>68153000</v>
      </c>
      <c r="O439" s="48">
        <f t="shared" si="232"/>
        <v>65578000</v>
      </c>
      <c r="P439" s="48">
        <f t="shared" si="232"/>
        <v>2575000</v>
      </c>
      <c r="Q439" s="48">
        <f t="shared" si="232"/>
        <v>0</v>
      </c>
    </row>
    <row r="440" spans="1:17" ht="159.65" customHeight="1" x14ac:dyDescent="0.35">
      <c r="A440" s="241" t="s">
        <v>318</v>
      </c>
      <c r="B440" s="242" t="s">
        <v>319</v>
      </c>
      <c r="C440" s="52">
        <f>C441</f>
        <v>0</v>
      </c>
      <c r="D440" s="52">
        <f>D441</f>
        <v>0</v>
      </c>
      <c r="E440" s="53">
        <f>E441</f>
        <v>0</v>
      </c>
      <c r="F440" s="54" t="s">
        <v>320</v>
      </c>
      <c r="G440" s="52">
        <f>J440+M440+N440+Q440</f>
        <v>26530000</v>
      </c>
      <c r="H440" s="52">
        <f t="shared" si="224"/>
        <v>25500000</v>
      </c>
      <c r="I440" s="52">
        <f t="shared" si="224"/>
        <v>1030000</v>
      </c>
      <c r="J440" s="52">
        <f t="shared" ref="J440:Q440" si="233">J441</f>
        <v>0</v>
      </c>
      <c r="K440" s="52">
        <f t="shared" si="233"/>
        <v>0</v>
      </c>
      <c r="L440" s="52">
        <f t="shared" si="233"/>
        <v>0</v>
      </c>
      <c r="M440" s="52">
        <f t="shared" si="233"/>
        <v>0</v>
      </c>
      <c r="N440" s="52">
        <f t="shared" si="233"/>
        <v>26530000</v>
      </c>
      <c r="O440" s="52">
        <f t="shared" si="233"/>
        <v>25500000</v>
      </c>
      <c r="P440" s="52">
        <f t="shared" si="233"/>
        <v>1030000</v>
      </c>
      <c r="Q440" s="52">
        <f t="shared" si="233"/>
        <v>0</v>
      </c>
    </row>
    <row r="441" spans="1:17" ht="28" customHeight="1" x14ac:dyDescent="0.35">
      <c r="A441" s="241"/>
      <c r="B441" s="242"/>
      <c r="C441" s="60">
        <v>0</v>
      </c>
      <c r="D441" s="60">
        <v>0</v>
      </c>
      <c r="E441" s="60">
        <v>0</v>
      </c>
      <c r="F441" s="61" t="s">
        <v>321</v>
      </c>
      <c r="G441" s="60">
        <f>J441+M441+N441</f>
        <v>26530000</v>
      </c>
      <c r="H441" s="60">
        <f t="shared" si="224"/>
        <v>25500000</v>
      </c>
      <c r="I441" s="60">
        <f t="shared" si="224"/>
        <v>1030000</v>
      </c>
      <c r="J441" s="60">
        <f>K441+L441</f>
        <v>0</v>
      </c>
      <c r="K441" s="60">
        <v>0</v>
      </c>
      <c r="L441" s="60">
        <v>0</v>
      </c>
      <c r="M441" s="60">
        <v>0</v>
      </c>
      <c r="N441" s="60">
        <f>SUM(O441:P441)</f>
        <v>26530000</v>
      </c>
      <c r="O441" s="77">
        <v>25500000</v>
      </c>
      <c r="P441" s="77">
        <v>1030000</v>
      </c>
      <c r="Q441" s="60">
        <v>0</v>
      </c>
    </row>
    <row r="442" spans="1:17" ht="28" customHeight="1" x14ac:dyDescent="0.35">
      <c r="A442" s="241"/>
      <c r="B442" s="242"/>
      <c r="C442" s="19"/>
      <c r="D442" s="19"/>
      <c r="E442" s="19"/>
      <c r="F442" s="66" t="s">
        <v>322</v>
      </c>
      <c r="G442" s="67">
        <f t="shared" ref="G442:P442" si="234">G441</f>
        <v>26530000</v>
      </c>
      <c r="H442" s="67">
        <f t="shared" si="234"/>
        <v>25500000</v>
      </c>
      <c r="I442" s="67">
        <f t="shared" si="234"/>
        <v>1030000</v>
      </c>
      <c r="J442" s="67">
        <f t="shared" si="234"/>
        <v>0</v>
      </c>
      <c r="K442" s="67">
        <f t="shared" si="234"/>
        <v>0</v>
      </c>
      <c r="L442" s="67">
        <f t="shared" si="234"/>
        <v>0</v>
      </c>
      <c r="M442" s="67">
        <f t="shared" si="234"/>
        <v>0</v>
      </c>
      <c r="N442" s="67">
        <f t="shared" si="234"/>
        <v>26530000</v>
      </c>
      <c r="O442" s="67">
        <f t="shared" si="234"/>
        <v>25500000</v>
      </c>
      <c r="P442" s="67">
        <f t="shared" si="234"/>
        <v>1030000</v>
      </c>
      <c r="Q442" s="67">
        <f>Q441</f>
        <v>0</v>
      </c>
    </row>
    <row r="443" spans="1:17" ht="204.65" customHeight="1" x14ac:dyDescent="0.35">
      <c r="A443" s="241" t="s">
        <v>344</v>
      </c>
      <c r="B443" s="242" t="s">
        <v>345</v>
      </c>
      <c r="C443" s="52">
        <f>C444</f>
        <v>0</v>
      </c>
      <c r="D443" s="52">
        <f>D444</f>
        <v>0</v>
      </c>
      <c r="E443" s="53">
        <f>E444</f>
        <v>0</v>
      </c>
      <c r="F443" s="54" t="s">
        <v>346</v>
      </c>
      <c r="G443" s="52">
        <f>J443+M443+N443+Q443</f>
        <v>14968000</v>
      </c>
      <c r="H443" s="52">
        <f>K443+O443</f>
        <v>14427000</v>
      </c>
      <c r="I443" s="52">
        <f>L443+P443</f>
        <v>541000</v>
      </c>
      <c r="J443" s="52">
        <f>J444</f>
        <v>0</v>
      </c>
      <c r="K443" s="52">
        <f>K444</f>
        <v>0</v>
      </c>
      <c r="L443" s="52">
        <f>L444</f>
        <v>0</v>
      </c>
      <c r="M443" s="52">
        <f t="shared" ref="M443:N446" si="235">M444</f>
        <v>0</v>
      </c>
      <c r="N443" s="52">
        <f t="shared" si="235"/>
        <v>14968000</v>
      </c>
      <c r="O443" s="52">
        <f>O444</f>
        <v>14427000</v>
      </c>
      <c r="P443" s="52">
        <f>P444</f>
        <v>541000</v>
      </c>
      <c r="Q443" s="52">
        <f>Q444</f>
        <v>0</v>
      </c>
    </row>
    <row r="444" spans="1:17" ht="28" customHeight="1" x14ac:dyDescent="0.35">
      <c r="A444" s="241"/>
      <c r="B444" s="242"/>
      <c r="C444" s="60">
        <v>0</v>
      </c>
      <c r="D444" s="60">
        <v>0</v>
      </c>
      <c r="E444" s="60">
        <v>0</v>
      </c>
      <c r="F444" s="61" t="s">
        <v>321</v>
      </c>
      <c r="G444" s="60">
        <f>J444+M444+N444</f>
        <v>14968000</v>
      </c>
      <c r="H444" s="60">
        <f t="shared" ref="H444:I444" si="236">K444+O444</f>
        <v>14427000</v>
      </c>
      <c r="I444" s="60">
        <f t="shared" si="236"/>
        <v>541000</v>
      </c>
      <c r="J444" s="60">
        <f>K444+L444</f>
        <v>0</v>
      </c>
      <c r="K444" s="60">
        <v>0</v>
      </c>
      <c r="L444" s="60">
        <v>0</v>
      </c>
      <c r="M444" s="60">
        <v>0</v>
      </c>
      <c r="N444" s="60">
        <f>SUM(O444:P444)</f>
        <v>14968000</v>
      </c>
      <c r="O444" s="77">
        <v>14427000</v>
      </c>
      <c r="P444" s="77">
        <v>541000</v>
      </c>
      <c r="Q444" s="60">
        <v>0</v>
      </c>
    </row>
    <row r="445" spans="1:17" ht="28" customHeight="1" x14ac:dyDescent="0.35">
      <c r="A445" s="241"/>
      <c r="B445" s="242"/>
      <c r="C445" s="19"/>
      <c r="D445" s="19"/>
      <c r="E445" s="19"/>
      <c r="F445" s="66" t="s">
        <v>322</v>
      </c>
      <c r="G445" s="67">
        <f>G444</f>
        <v>14968000</v>
      </c>
      <c r="H445" s="67">
        <f t="shared" ref="H445:Q445" si="237">H444</f>
        <v>14427000</v>
      </c>
      <c r="I445" s="67">
        <f t="shared" si="237"/>
        <v>541000</v>
      </c>
      <c r="J445" s="67">
        <f t="shared" si="237"/>
        <v>0</v>
      </c>
      <c r="K445" s="67">
        <f t="shared" si="237"/>
        <v>0</v>
      </c>
      <c r="L445" s="67">
        <f t="shared" si="237"/>
        <v>0</v>
      </c>
      <c r="M445" s="67">
        <f t="shared" si="237"/>
        <v>0</v>
      </c>
      <c r="N445" s="67">
        <f t="shared" si="237"/>
        <v>14968000</v>
      </c>
      <c r="O445" s="67">
        <f t="shared" si="237"/>
        <v>14427000</v>
      </c>
      <c r="P445" s="67">
        <f t="shared" si="237"/>
        <v>541000</v>
      </c>
      <c r="Q445" s="67">
        <f t="shared" si="237"/>
        <v>0</v>
      </c>
    </row>
    <row r="446" spans="1:17" ht="47" x14ac:dyDescent="0.35">
      <c r="A446" s="241" t="s">
        <v>363</v>
      </c>
      <c r="B446" s="242" t="s">
        <v>364</v>
      </c>
      <c r="C446" s="52">
        <f>C447</f>
        <v>0</v>
      </c>
      <c r="D446" s="52">
        <f>D447</f>
        <v>0</v>
      </c>
      <c r="E446" s="53">
        <f>E447</f>
        <v>0</v>
      </c>
      <c r="F446" s="54" t="s">
        <v>365</v>
      </c>
      <c r="G446" s="52">
        <f>J446+M446+N446+Q446</f>
        <v>26655000</v>
      </c>
      <c r="H446" s="52">
        <f>K446+O446</f>
        <v>25651000</v>
      </c>
      <c r="I446" s="52">
        <f>L446+P446</f>
        <v>1004000</v>
      </c>
      <c r="J446" s="52">
        <f>J447</f>
        <v>0</v>
      </c>
      <c r="K446" s="52">
        <f>K447</f>
        <v>0</v>
      </c>
      <c r="L446" s="52">
        <f>L447</f>
        <v>0</v>
      </c>
      <c r="M446" s="52">
        <f t="shared" si="235"/>
        <v>0</v>
      </c>
      <c r="N446" s="52">
        <f t="shared" si="235"/>
        <v>26655000</v>
      </c>
      <c r="O446" s="52">
        <f>O447</f>
        <v>25651000</v>
      </c>
      <c r="P446" s="52">
        <f>P447</f>
        <v>1004000</v>
      </c>
      <c r="Q446" s="52">
        <f>Q447</f>
        <v>0</v>
      </c>
    </row>
    <row r="447" spans="1:17" ht="28" customHeight="1" x14ac:dyDescent="0.35">
      <c r="A447" s="241"/>
      <c r="B447" s="242"/>
      <c r="C447" s="60">
        <v>0</v>
      </c>
      <c r="D447" s="60">
        <v>0</v>
      </c>
      <c r="E447" s="60">
        <v>0</v>
      </c>
      <c r="F447" s="61" t="s">
        <v>321</v>
      </c>
      <c r="G447" s="60">
        <f>J447+M447+N447</f>
        <v>26655000</v>
      </c>
      <c r="H447" s="60">
        <f>K447+O447</f>
        <v>25651000</v>
      </c>
      <c r="I447" s="60">
        <f>L447+P447</f>
        <v>1004000</v>
      </c>
      <c r="J447" s="60">
        <f>K447+L447</f>
        <v>0</v>
      </c>
      <c r="K447" s="60">
        <v>0</v>
      </c>
      <c r="L447" s="60">
        <v>0</v>
      </c>
      <c r="M447" s="60">
        <v>0</v>
      </c>
      <c r="N447" s="60">
        <f>SUM(O447:P447)</f>
        <v>26655000</v>
      </c>
      <c r="O447" s="77">
        <v>25651000</v>
      </c>
      <c r="P447" s="77">
        <v>1004000</v>
      </c>
      <c r="Q447" s="60">
        <v>0</v>
      </c>
    </row>
    <row r="448" spans="1:17" ht="28" customHeight="1" x14ac:dyDescent="0.35">
      <c r="A448" s="241"/>
      <c r="B448" s="242"/>
      <c r="C448" s="19"/>
      <c r="D448" s="19"/>
      <c r="E448" s="19"/>
      <c r="F448" s="66" t="s">
        <v>322</v>
      </c>
      <c r="G448" s="67">
        <f t="shared" ref="G448:P448" si="238">G447</f>
        <v>26655000</v>
      </c>
      <c r="H448" s="67">
        <f t="shared" si="238"/>
        <v>25651000</v>
      </c>
      <c r="I448" s="67">
        <f t="shared" si="238"/>
        <v>1004000</v>
      </c>
      <c r="J448" s="67">
        <f t="shared" si="238"/>
        <v>0</v>
      </c>
      <c r="K448" s="67">
        <f t="shared" si="238"/>
        <v>0</v>
      </c>
      <c r="L448" s="67">
        <f t="shared" si="238"/>
        <v>0</v>
      </c>
      <c r="M448" s="67">
        <f t="shared" si="238"/>
        <v>0</v>
      </c>
      <c r="N448" s="67">
        <f t="shared" si="238"/>
        <v>26655000</v>
      </c>
      <c r="O448" s="67">
        <f t="shared" si="238"/>
        <v>25651000</v>
      </c>
      <c r="P448" s="67">
        <f t="shared" si="238"/>
        <v>1004000</v>
      </c>
      <c r="Q448" s="67">
        <f>Q447</f>
        <v>0</v>
      </c>
    </row>
    <row r="449" spans="1:17" ht="30" customHeight="1" x14ac:dyDescent="0.35">
      <c r="A449" s="45" t="s">
        <v>392</v>
      </c>
      <c r="B449" s="46" t="s">
        <v>393</v>
      </c>
      <c r="C449" s="47">
        <f t="shared" ref="C449:E450" si="239">C450</f>
        <v>0</v>
      </c>
      <c r="D449" s="47">
        <f t="shared" si="239"/>
        <v>0</v>
      </c>
      <c r="E449" s="48">
        <f t="shared" si="239"/>
        <v>0</v>
      </c>
      <c r="F449" s="49"/>
      <c r="G449" s="48">
        <f>H449+I449</f>
        <v>68153000</v>
      </c>
      <c r="H449" s="48">
        <f t="shared" ref="H449:I451" si="240">K449+O449</f>
        <v>68153000</v>
      </c>
      <c r="I449" s="48">
        <f t="shared" si="240"/>
        <v>0</v>
      </c>
      <c r="J449" s="48">
        <f t="shared" ref="J449:Q450" si="241">J450</f>
        <v>0</v>
      </c>
      <c r="K449" s="48">
        <f t="shared" si="241"/>
        <v>0</v>
      </c>
      <c r="L449" s="48">
        <f t="shared" si="241"/>
        <v>0</v>
      </c>
      <c r="M449" s="48">
        <f t="shared" si="241"/>
        <v>0</v>
      </c>
      <c r="N449" s="48">
        <f t="shared" si="241"/>
        <v>68153000</v>
      </c>
      <c r="O449" s="48">
        <f t="shared" si="241"/>
        <v>68153000</v>
      </c>
      <c r="P449" s="48">
        <f t="shared" si="241"/>
        <v>0</v>
      </c>
      <c r="Q449" s="48">
        <f>Q451</f>
        <v>0</v>
      </c>
    </row>
    <row r="450" spans="1:17" ht="79.5" customHeight="1" x14ac:dyDescent="0.35">
      <c r="A450" s="241" t="s">
        <v>394</v>
      </c>
      <c r="B450" s="242" t="s">
        <v>395</v>
      </c>
      <c r="C450" s="52">
        <f t="shared" si="239"/>
        <v>0</v>
      </c>
      <c r="D450" s="52">
        <f t="shared" si="239"/>
        <v>0</v>
      </c>
      <c r="E450" s="53">
        <f t="shared" si="239"/>
        <v>0</v>
      </c>
      <c r="F450" s="54" t="s">
        <v>396</v>
      </c>
      <c r="G450" s="52">
        <f>J450+M450+N450+Q450</f>
        <v>68153000</v>
      </c>
      <c r="H450" s="52">
        <f t="shared" si="240"/>
        <v>68153000</v>
      </c>
      <c r="I450" s="52">
        <f t="shared" si="240"/>
        <v>0</v>
      </c>
      <c r="J450" s="52">
        <f t="shared" si="241"/>
        <v>0</v>
      </c>
      <c r="K450" s="52">
        <f t="shared" si="241"/>
        <v>0</v>
      </c>
      <c r="L450" s="52">
        <f t="shared" si="241"/>
        <v>0</v>
      </c>
      <c r="M450" s="52">
        <f t="shared" si="241"/>
        <v>0</v>
      </c>
      <c r="N450" s="52">
        <f t="shared" si="241"/>
        <v>68153000</v>
      </c>
      <c r="O450" s="52">
        <f t="shared" si="241"/>
        <v>68153000</v>
      </c>
      <c r="P450" s="52">
        <f t="shared" si="241"/>
        <v>0</v>
      </c>
      <c r="Q450" s="52">
        <f t="shared" si="241"/>
        <v>0</v>
      </c>
    </row>
    <row r="451" spans="1:17" ht="28" customHeight="1" x14ac:dyDescent="0.35">
      <c r="A451" s="241"/>
      <c r="B451" s="242"/>
      <c r="C451" s="60">
        <v>0</v>
      </c>
      <c r="D451" s="60">
        <v>0</v>
      </c>
      <c r="E451" s="60">
        <v>0</v>
      </c>
      <c r="F451" s="61" t="s">
        <v>321</v>
      </c>
      <c r="G451" s="60">
        <f>J451+M451+N451</f>
        <v>68153000</v>
      </c>
      <c r="H451" s="60">
        <f t="shared" si="240"/>
        <v>68153000</v>
      </c>
      <c r="I451" s="60">
        <f t="shared" si="240"/>
        <v>0</v>
      </c>
      <c r="J451" s="60">
        <v>0</v>
      </c>
      <c r="K451" s="60">
        <v>0</v>
      </c>
      <c r="L451" s="60">
        <v>0</v>
      </c>
      <c r="M451" s="60">
        <v>0</v>
      </c>
      <c r="N451" s="60">
        <f>SUM(O451:P451)</f>
        <v>68153000</v>
      </c>
      <c r="O451" s="77">
        <v>68153000</v>
      </c>
      <c r="P451" s="77">
        <v>0</v>
      </c>
      <c r="Q451" s="60">
        <v>0</v>
      </c>
    </row>
    <row r="452" spans="1:17" ht="28" customHeight="1" x14ac:dyDescent="0.35">
      <c r="A452" s="241"/>
      <c r="B452" s="242"/>
      <c r="C452" s="19"/>
      <c r="D452" s="19"/>
      <c r="E452" s="19"/>
      <c r="F452" s="66" t="s">
        <v>322</v>
      </c>
      <c r="G452" s="67">
        <f t="shared" ref="G452:Q452" si="242">G451</f>
        <v>68153000</v>
      </c>
      <c r="H452" s="67">
        <f t="shared" si="242"/>
        <v>68153000</v>
      </c>
      <c r="I452" s="67">
        <f t="shared" si="242"/>
        <v>0</v>
      </c>
      <c r="J452" s="67">
        <f t="shared" si="242"/>
        <v>0</v>
      </c>
      <c r="K452" s="67">
        <f t="shared" si="242"/>
        <v>0</v>
      </c>
      <c r="L452" s="67">
        <f t="shared" si="242"/>
        <v>0</v>
      </c>
      <c r="M452" s="67">
        <f t="shared" si="242"/>
        <v>0</v>
      </c>
      <c r="N452" s="67">
        <f t="shared" si="242"/>
        <v>68153000</v>
      </c>
      <c r="O452" s="67">
        <f t="shared" si="242"/>
        <v>68153000</v>
      </c>
      <c r="P452" s="67">
        <f t="shared" si="242"/>
        <v>0</v>
      </c>
      <c r="Q452" s="67">
        <f t="shared" si="242"/>
        <v>0</v>
      </c>
    </row>
    <row r="453" spans="1:17" s="111" customFormat="1" ht="78" x14ac:dyDescent="0.35">
      <c r="A453" s="39" t="s">
        <v>397</v>
      </c>
      <c r="B453" s="40" t="s">
        <v>398</v>
      </c>
      <c r="C453" s="41">
        <f>C454</f>
        <v>385561376</v>
      </c>
      <c r="D453" s="41">
        <f>D454</f>
        <v>0</v>
      </c>
      <c r="E453" s="42">
        <f>E454</f>
        <v>0</v>
      </c>
      <c r="F453" s="43"/>
      <c r="G453" s="42">
        <f t="shared" ref="G453:G511" si="243">J453+M453+N453+Q453</f>
        <v>385561376</v>
      </c>
      <c r="H453" s="42">
        <f t="shared" ref="H453:I475" si="244">K453+O453</f>
        <v>383539740</v>
      </c>
      <c r="I453" s="42">
        <f t="shared" si="244"/>
        <v>2021636</v>
      </c>
      <c r="J453" s="42">
        <f>J454</f>
        <v>385561376</v>
      </c>
      <c r="K453" s="42">
        <f t="shared" ref="K453:Q453" si="245">K454</f>
        <v>383539740</v>
      </c>
      <c r="L453" s="42">
        <f t="shared" si="245"/>
        <v>2021636</v>
      </c>
      <c r="M453" s="42">
        <f t="shared" si="245"/>
        <v>0</v>
      </c>
      <c r="N453" s="42">
        <f t="shared" si="245"/>
        <v>0</v>
      </c>
      <c r="O453" s="42">
        <f t="shared" si="245"/>
        <v>0</v>
      </c>
      <c r="P453" s="42">
        <f t="shared" si="245"/>
        <v>0</v>
      </c>
      <c r="Q453" s="42">
        <f t="shared" si="245"/>
        <v>0</v>
      </c>
    </row>
    <row r="454" spans="1:17" s="111" customFormat="1" ht="28.5" x14ac:dyDescent="0.35">
      <c r="A454" s="45" t="s">
        <v>399</v>
      </c>
      <c r="B454" s="46" t="s">
        <v>400</v>
      </c>
      <c r="C454" s="47">
        <f>C455+C486</f>
        <v>385561376</v>
      </c>
      <c r="D454" s="47">
        <f>D455+D486</f>
        <v>0</v>
      </c>
      <c r="E454" s="48">
        <f>E455+E486</f>
        <v>0</v>
      </c>
      <c r="F454" s="49"/>
      <c r="G454" s="48">
        <f t="shared" si="243"/>
        <v>385561376</v>
      </c>
      <c r="H454" s="48">
        <f t="shared" si="244"/>
        <v>383539740</v>
      </c>
      <c r="I454" s="48">
        <f t="shared" si="244"/>
        <v>2021636</v>
      </c>
      <c r="J454" s="48">
        <f t="shared" ref="J454:Q454" si="246">J455+J486</f>
        <v>385561376</v>
      </c>
      <c r="K454" s="48">
        <f t="shared" si="246"/>
        <v>383539740</v>
      </c>
      <c r="L454" s="48">
        <f t="shared" si="246"/>
        <v>2021636</v>
      </c>
      <c r="M454" s="48">
        <f t="shared" si="246"/>
        <v>0</v>
      </c>
      <c r="N454" s="48">
        <f t="shared" si="246"/>
        <v>0</v>
      </c>
      <c r="O454" s="48">
        <f t="shared" si="246"/>
        <v>0</v>
      </c>
      <c r="P454" s="48">
        <f t="shared" si="246"/>
        <v>0</v>
      </c>
      <c r="Q454" s="48">
        <f t="shared" si="246"/>
        <v>0</v>
      </c>
    </row>
    <row r="455" spans="1:17" s="111" customFormat="1" ht="104" x14ac:dyDescent="0.35">
      <c r="A455" s="87" t="s">
        <v>401</v>
      </c>
      <c r="B455" s="88" t="s">
        <v>402</v>
      </c>
      <c r="C455" s="52">
        <f>C456+C461+C466+C471+C476+C481</f>
        <v>170361656</v>
      </c>
      <c r="D455" s="52">
        <f>D456+D461+D466+D471+D476+D481</f>
        <v>0</v>
      </c>
      <c r="E455" s="52">
        <f>E456+E461+E466+E471+E476+E481</f>
        <v>0</v>
      </c>
      <c r="F455" s="54" t="s">
        <v>403</v>
      </c>
      <c r="G455" s="52">
        <f t="shared" si="243"/>
        <v>170361656</v>
      </c>
      <c r="H455" s="52">
        <f t="shared" si="244"/>
        <v>168590020</v>
      </c>
      <c r="I455" s="52">
        <f t="shared" si="244"/>
        <v>1771636</v>
      </c>
      <c r="J455" s="52">
        <f t="shared" ref="J455:Q455" si="247">J456+J461+J466+J471+J476+J481</f>
        <v>170361656</v>
      </c>
      <c r="K455" s="52">
        <f t="shared" si="247"/>
        <v>168590020</v>
      </c>
      <c r="L455" s="52">
        <f t="shared" si="247"/>
        <v>1771636</v>
      </c>
      <c r="M455" s="52">
        <f t="shared" si="247"/>
        <v>0</v>
      </c>
      <c r="N455" s="52">
        <f t="shared" si="247"/>
        <v>0</v>
      </c>
      <c r="O455" s="52">
        <f t="shared" si="247"/>
        <v>0</v>
      </c>
      <c r="P455" s="52">
        <f t="shared" si="247"/>
        <v>0</v>
      </c>
      <c r="Q455" s="52">
        <f t="shared" si="247"/>
        <v>0</v>
      </c>
    </row>
    <row r="456" spans="1:17" s="111" customFormat="1" ht="28.5" x14ac:dyDescent="0.35">
      <c r="A456" s="234" t="s">
        <v>404</v>
      </c>
      <c r="B456" s="235" t="s">
        <v>405</v>
      </c>
      <c r="C456" s="56">
        <f>C457</f>
        <v>4436734</v>
      </c>
      <c r="D456" s="57">
        <f>D457</f>
        <v>0</v>
      </c>
      <c r="E456" s="58">
        <f>E457</f>
        <v>0</v>
      </c>
      <c r="F456" s="59" t="s">
        <v>406</v>
      </c>
      <c r="G456" s="58">
        <f t="shared" si="243"/>
        <v>4436734</v>
      </c>
      <c r="H456" s="58">
        <f t="shared" si="244"/>
        <v>3936734</v>
      </c>
      <c r="I456" s="58">
        <f t="shared" si="244"/>
        <v>500000</v>
      </c>
      <c r="J456" s="58">
        <f t="shared" ref="J456:Q456" si="248">J457</f>
        <v>4436734</v>
      </c>
      <c r="K456" s="58">
        <f t="shared" si="248"/>
        <v>3936734</v>
      </c>
      <c r="L456" s="58">
        <f t="shared" si="248"/>
        <v>500000</v>
      </c>
      <c r="M456" s="58">
        <f t="shared" si="248"/>
        <v>0</v>
      </c>
      <c r="N456" s="58">
        <f t="shared" si="248"/>
        <v>0</v>
      </c>
      <c r="O456" s="58">
        <f t="shared" si="248"/>
        <v>0</v>
      </c>
      <c r="P456" s="58">
        <f t="shared" si="248"/>
        <v>0</v>
      </c>
      <c r="Q456" s="58">
        <f t="shared" si="248"/>
        <v>0</v>
      </c>
    </row>
    <row r="457" spans="1:17" ht="28" customHeight="1" x14ac:dyDescent="0.35">
      <c r="A457" s="234"/>
      <c r="B457" s="235"/>
      <c r="C457" s="69">
        <f>G459+G460</f>
        <v>4436734</v>
      </c>
      <c r="D457" s="60">
        <v>0</v>
      </c>
      <c r="E457" s="60">
        <v>0</v>
      </c>
      <c r="F457" s="61" t="s">
        <v>36</v>
      </c>
      <c r="G457" s="60">
        <f t="shared" si="243"/>
        <v>4436734</v>
      </c>
      <c r="H457" s="60">
        <f t="shared" si="244"/>
        <v>3936734</v>
      </c>
      <c r="I457" s="60">
        <f t="shared" si="244"/>
        <v>500000</v>
      </c>
      <c r="J457" s="60">
        <f t="shared" ref="J457:Q457" si="249">J458+J459+J460</f>
        <v>4436734</v>
      </c>
      <c r="K457" s="60">
        <f t="shared" si="249"/>
        <v>3936734</v>
      </c>
      <c r="L457" s="60">
        <f t="shared" si="249"/>
        <v>500000</v>
      </c>
      <c r="M457" s="60">
        <f t="shared" si="249"/>
        <v>0</v>
      </c>
      <c r="N457" s="60">
        <f t="shared" si="249"/>
        <v>0</v>
      </c>
      <c r="O457" s="60">
        <f t="shared" si="249"/>
        <v>0</v>
      </c>
      <c r="P457" s="60">
        <f t="shared" si="249"/>
        <v>0</v>
      </c>
      <c r="Q457" s="60">
        <f t="shared" si="249"/>
        <v>0</v>
      </c>
    </row>
    <row r="458" spans="1:17" ht="28" customHeight="1" x14ac:dyDescent="0.35">
      <c r="A458" s="234"/>
      <c r="B458" s="235"/>
      <c r="C458" s="78"/>
      <c r="D458" s="78"/>
      <c r="E458" s="78"/>
      <c r="F458" s="66" t="s">
        <v>37</v>
      </c>
      <c r="G458" s="67">
        <f t="shared" si="243"/>
        <v>0</v>
      </c>
      <c r="H458" s="67">
        <f t="shared" si="244"/>
        <v>0</v>
      </c>
      <c r="I458" s="67">
        <f t="shared" si="244"/>
        <v>0</v>
      </c>
      <c r="J458" s="67">
        <f>K458+L458</f>
        <v>0</v>
      </c>
      <c r="K458" s="67">
        <v>0</v>
      </c>
      <c r="L458" s="67">
        <v>0</v>
      </c>
      <c r="M458" s="67">
        <v>0</v>
      </c>
      <c r="N458" s="67">
        <f>O458+P458</f>
        <v>0</v>
      </c>
      <c r="O458" s="67">
        <v>0</v>
      </c>
      <c r="P458" s="67">
        <v>0</v>
      </c>
      <c r="Q458" s="67">
        <v>0</v>
      </c>
    </row>
    <row r="459" spans="1:17" ht="28" customHeight="1" x14ac:dyDescent="0.35">
      <c r="A459" s="234"/>
      <c r="B459" s="235"/>
      <c r="C459" s="78"/>
      <c r="D459" s="78"/>
      <c r="E459" s="78"/>
      <c r="F459" s="66" t="s">
        <v>38</v>
      </c>
      <c r="G459" s="71">
        <f t="shared" si="243"/>
        <v>0</v>
      </c>
      <c r="H459" s="71">
        <f t="shared" si="244"/>
        <v>0</v>
      </c>
      <c r="I459" s="71">
        <f t="shared" si="244"/>
        <v>0</v>
      </c>
      <c r="J459" s="71">
        <f>K459+L459</f>
        <v>0</v>
      </c>
      <c r="K459" s="71">
        <v>0</v>
      </c>
      <c r="L459" s="71">
        <v>0</v>
      </c>
      <c r="M459" s="71">
        <v>0</v>
      </c>
      <c r="N459" s="71">
        <f>O459+P459</f>
        <v>0</v>
      </c>
      <c r="O459" s="71">
        <v>0</v>
      </c>
      <c r="P459" s="71">
        <v>0</v>
      </c>
      <c r="Q459" s="71">
        <v>0</v>
      </c>
    </row>
    <row r="460" spans="1:17" ht="28" customHeight="1" x14ac:dyDescent="0.35">
      <c r="A460" s="234"/>
      <c r="B460" s="235"/>
      <c r="C460" s="78"/>
      <c r="D460" s="78"/>
      <c r="E460" s="78"/>
      <c r="F460" s="66" t="s">
        <v>39</v>
      </c>
      <c r="G460" s="71">
        <f t="shared" si="243"/>
        <v>4436734</v>
      </c>
      <c r="H460" s="71">
        <f t="shared" si="244"/>
        <v>3936734</v>
      </c>
      <c r="I460" s="71">
        <f t="shared" si="244"/>
        <v>500000</v>
      </c>
      <c r="J460" s="71">
        <f>K460+L460</f>
        <v>4436734</v>
      </c>
      <c r="K460" s="71">
        <f>6810000-264627-187457-53277-106992-60270-421391-410499-237709-216990-340534-155370-418150</f>
        <v>3936734</v>
      </c>
      <c r="L460" s="71">
        <v>500000</v>
      </c>
      <c r="M460" s="71">
        <v>0</v>
      </c>
      <c r="N460" s="71">
        <f>O460+P460</f>
        <v>0</v>
      </c>
      <c r="O460" s="71">
        <v>0</v>
      </c>
      <c r="P460" s="71">
        <v>0</v>
      </c>
      <c r="Q460" s="71">
        <v>0</v>
      </c>
    </row>
    <row r="461" spans="1:17" ht="93.75" customHeight="1" x14ac:dyDescent="0.35">
      <c r="A461" s="234" t="s">
        <v>407</v>
      </c>
      <c r="B461" s="235" t="s">
        <v>408</v>
      </c>
      <c r="C461" s="56">
        <f>C462</f>
        <v>3204597</v>
      </c>
      <c r="D461" s="57">
        <f>D462</f>
        <v>0</v>
      </c>
      <c r="E461" s="58">
        <f>E462</f>
        <v>0</v>
      </c>
      <c r="F461" s="59" t="s">
        <v>409</v>
      </c>
      <c r="G461" s="58">
        <f t="shared" si="243"/>
        <v>3204597</v>
      </c>
      <c r="H461" s="58">
        <f t="shared" si="244"/>
        <v>2704597</v>
      </c>
      <c r="I461" s="58">
        <f t="shared" si="244"/>
        <v>500000</v>
      </c>
      <c r="J461" s="58">
        <f t="shared" ref="J461:Q461" si="250">J462</f>
        <v>3204597</v>
      </c>
      <c r="K461" s="58">
        <f t="shared" si="250"/>
        <v>2704597</v>
      </c>
      <c r="L461" s="58">
        <f t="shared" si="250"/>
        <v>500000</v>
      </c>
      <c r="M461" s="58">
        <f t="shared" si="250"/>
        <v>0</v>
      </c>
      <c r="N461" s="58">
        <f t="shared" si="250"/>
        <v>0</v>
      </c>
      <c r="O461" s="58">
        <f t="shared" si="250"/>
        <v>0</v>
      </c>
      <c r="P461" s="58">
        <f t="shared" si="250"/>
        <v>0</v>
      </c>
      <c r="Q461" s="58">
        <f t="shared" si="250"/>
        <v>0</v>
      </c>
    </row>
    <row r="462" spans="1:17" ht="28" customHeight="1" x14ac:dyDescent="0.35">
      <c r="A462" s="234"/>
      <c r="B462" s="235"/>
      <c r="C462" s="69">
        <f>G464+G465</f>
        <v>3204597</v>
      </c>
      <c r="D462" s="60">
        <v>0</v>
      </c>
      <c r="E462" s="60">
        <v>0</v>
      </c>
      <c r="F462" s="61" t="s">
        <v>36</v>
      </c>
      <c r="G462" s="60">
        <f t="shared" si="243"/>
        <v>3204597</v>
      </c>
      <c r="H462" s="60">
        <f t="shared" si="244"/>
        <v>2704597</v>
      </c>
      <c r="I462" s="60">
        <f t="shared" si="244"/>
        <v>500000</v>
      </c>
      <c r="J462" s="60">
        <f t="shared" ref="J462:Q462" si="251">J463+J464+J465</f>
        <v>3204597</v>
      </c>
      <c r="K462" s="60">
        <f t="shared" si="251"/>
        <v>2704597</v>
      </c>
      <c r="L462" s="60">
        <f t="shared" si="251"/>
        <v>500000</v>
      </c>
      <c r="M462" s="60">
        <f t="shared" si="251"/>
        <v>0</v>
      </c>
      <c r="N462" s="60">
        <f t="shared" si="251"/>
        <v>0</v>
      </c>
      <c r="O462" s="60">
        <f t="shared" si="251"/>
        <v>0</v>
      </c>
      <c r="P462" s="60">
        <f t="shared" si="251"/>
        <v>0</v>
      </c>
      <c r="Q462" s="60">
        <f t="shared" si="251"/>
        <v>0</v>
      </c>
    </row>
    <row r="463" spans="1:17" ht="28" customHeight="1" x14ac:dyDescent="0.35">
      <c r="A463" s="234"/>
      <c r="B463" s="235"/>
      <c r="C463" s="78"/>
      <c r="D463" s="78"/>
      <c r="E463" s="15"/>
      <c r="F463" s="66" t="s">
        <v>37</v>
      </c>
      <c r="G463" s="67">
        <f t="shared" si="243"/>
        <v>0</v>
      </c>
      <c r="H463" s="67">
        <f t="shared" si="244"/>
        <v>0</v>
      </c>
      <c r="I463" s="67">
        <f t="shared" si="244"/>
        <v>0</v>
      </c>
      <c r="J463" s="67">
        <f>K463+L463</f>
        <v>0</v>
      </c>
      <c r="K463" s="67">
        <v>0</v>
      </c>
      <c r="L463" s="67">
        <v>0</v>
      </c>
      <c r="M463" s="67">
        <v>0</v>
      </c>
      <c r="N463" s="67">
        <f>O463+P463</f>
        <v>0</v>
      </c>
      <c r="O463" s="67">
        <v>0</v>
      </c>
      <c r="P463" s="67">
        <v>0</v>
      </c>
      <c r="Q463" s="67">
        <v>0</v>
      </c>
    </row>
    <row r="464" spans="1:17" ht="28" customHeight="1" x14ac:dyDescent="0.35">
      <c r="A464" s="234"/>
      <c r="B464" s="235"/>
      <c r="C464" s="78"/>
      <c r="D464" s="78"/>
      <c r="E464" s="15"/>
      <c r="F464" s="66" t="s">
        <v>38</v>
      </c>
      <c r="G464" s="71">
        <f t="shared" si="243"/>
        <v>0</v>
      </c>
      <c r="H464" s="71">
        <f t="shared" si="244"/>
        <v>0</v>
      </c>
      <c r="I464" s="71">
        <f t="shared" si="244"/>
        <v>0</v>
      </c>
      <c r="J464" s="71">
        <f>K464+L464</f>
        <v>0</v>
      </c>
      <c r="K464" s="71">
        <v>0</v>
      </c>
      <c r="L464" s="71">
        <v>0</v>
      </c>
      <c r="M464" s="71">
        <v>0</v>
      </c>
      <c r="N464" s="71">
        <f>O464+P464</f>
        <v>0</v>
      </c>
      <c r="O464" s="71">
        <v>0</v>
      </c>
      <c r="P464" s="71">
        <v>0</v>
      </c>
      <c r="Q464" s="71">
        <v>0</v>
      </c>
    </row>
    <row r="465" spans="1:17" ht="28" customHeight="1" x14ac:dyDescent="0.35">
      <c r="A465" s="234"/>
      <c r="B465" s="235"/>
      <c r="C465" s="78"/>
      <c r="D465" s="78"/>
      <c r="E465" s="15"/>
      <c r="F465" s="66" t="s">
        <v>39</v>
      </c>
      <c r="G465" s="71">
        <f t="shared" si="243"/>
        <v>3204597</v>
      </c>
      <c r="H465" s="71">
        <f t="shared" si="244"/>
        <v>2704597</v>
      </c>
      <c r="I465" s="71">
        <f t="shared" si="244"/>
        <v>500000</v>
      </c>
      <c r="J465" s="71">
        <f>K465+L465</f>
        <v>3204597</v>
      </c>
      <c r="K465" s="71">
        <f>6500000-254980-185063-155337-155338-416081-500000-344905-44360-190000-230866-214017-332545-358941-153643-259327</f>
        <v>2704597</v>
      </c>
      <c r="L465" s="71">
        <v>500000</v>
      </c>
      <c r="M465" s="71">
        <v>0</v>
      </c>
      <c r="N465" s="71">
        <f>O465+P465</f>
        <v>0</v>
      </c>
      <c r="O465" s="71">
        <v>0</v>
      </c>
      <c r="P465" s="71">
        <v>0</v>
      </c>
      <c r="Q465" s="71">
        <v>0</v>
      </c>
    </row>
    <row r="466" spans="1:17" ht="28" customHeight="1" x14ac:dyDescent="0.35">
      <c r="A466" s="234" t="s">
        <v>410</v>
      </c>
      <c r="B466" s="235" t="s">
        <v>411</v>
      </c>
      <c r="C466" s="56">
        <f>C467</f>
        <v>1892138</v>
      </c>
      <c r="D466" s="57">
        <f>D467</f>
        <v>0</v>
      </c>
      <c r="E466" s="58">
        <f>E467</f>
        <v>0</v>
      </c>
      <c r="F466" s="59" t="s">
        <v>412</v>
      </c>
      <c r="G466" s="58">
        <f t="shared" si="243"/>
        <v>1892138</v>
      </c>
      <c r="H466" s="58">
        <f t="shared" si="244"/>
        <v>1892138</v>
      </c>
      <c r="I466" s="58">
        <f t="shared" si="244"/>
        <v>0</v>
      </c>
      <c r="J466" s="58">
        <f t="shared" ref="J466:Q466" si="252">J467</f>
        <v>1892138</v>
      </c>
      <c r="K466" s="58">
        <f t="shared" si="252"/>
        <v>1892138</v>
      </c>
      <c r="L466" s="58">
        <f t="shared" si="252"/>
        <v>0</v>
      </c>
      <c r="M466" s="58">
        <f t="shared" si="252"/>
        <v>0</v>
      </c>
      <c r="N466" s="58">
        <f t="shared" si="252"/>
        <v>0</v>
      </c>
      <c r="O466" s="58">
        <f t="shared" si="252"/>
        <v>0</v>
      </c>
      <c r="P466" s="58">
        <f t="shared" si="252"/>
        <v>0</v>
      </c>
      <c r="Q466" s="58">
        <f t="shared" si="252"/>
        <v>0</v>
      </c>
    </row>
    <row r="467" spans="1:17" ht="28" customHeight="1" x14ac:dyDescent="0.35">
      <c r="A467" s="234"/>
      <c r="B467" s="235"/>
      <c r="C467" s="69">
        <f>G469+G470</f>
        <v>1892138</v>
      </c>
      <c r="D467" s="60">
        <v>0</v>
      </c>
      <c r="E467" s="60">
        <v>0</v>
      </c>
      <c r="F467" s="61" t="s">
        <v>36</v>
      </c>
      <c r="G467" s="60">
        <f t="shared" si="243"/>
        <v>1892138</v>
      </c>
      <c r="H467" s="60">
        <f t="shared" si="244"/>
        <v>1892138</v>
      </c>
      <c r="I467" s="60">
        <f t="shared" si="244"/>
        <v>0</v>
      </c>
      <c r="J467" s="60">
        <f t="shared" ref="J467:Q467" si="253">J468+J469+J470</f>
        <v>1892138</v>
      </c>
      <c r="K467" s="60">
        <f t="shared" si="253"/>
        <v>1892138</v>
      </c>
      <c r="L467" s="60">
        <f t="shared" si="253"/>
        <v>0</v>
      </c>
      <c r="M467" s="60">
        <f t="shared" si="253"/>
        <v>0</v>
      </c>
      <c r="N467" s="60">
        <f t="shared" si="253"/>
        <v>0</v>
      </c>
      <c r="O467" s="60">
        <f t="shared" si="253"/>
        <v>0</v>
      </c>
      <c r="P467" s="60">
        <f t="shared" si="253"/>
        <v>0</v>
      </c>
      <c r="Q467" s="60">
        <f t="shared" si="253"/>
        <v>0</v>
      </c>
    </row>
    <row r="468" spans="1:17" ht="28" customHeight="1" x14ac:dyDescent="0.35">
      <c r="A468" s="234"/>
      <c r="B468" s="235"/>
      <c r="C468" s="78"/>
      <c r="D468" s="78"/>
      <c r="E468" s="15"/>
      <c r="F468" s="66" t="s">
        <v>37</v>
      </c>
      <c r="G468" s="67">
        <f t="shared" si="243"/>
        <v>0</v>
      </c>
      <c r="H468" s="67">
        <f t="shared" si="244"/>
        <v>0</v>
      </c>
      <c r="I468" s="67">
        <f t="shared" si="244"/>
        <v>0</v>
      </c>
      <c r="J468" s="67">
        <f>K468+L468</f>
        <v>0</v>
      </c>
      <c r="K468" s="67">
        <v>0</v>
      </c>
      <c r="L468" s="67">
        <v>0</v>
      </c>
      <c r="M468" s="67">
        <v>0</v>
      </c>
      <c r="N468" s="67">
        <f>O468+P468</f>
        <v>0</v>
      </c>
      <c r="O468" s="67">
        <v>0</v>
      </c>
      <c r="P468" s="67">
        <v>0</v>
      </c>
      <c r="Q468" s="67">
        <v>0</v>
      </c>
    </row>
    <row r="469" spans="1:17" ht="28" customHeight="1" x14ac:dyDescent="0.35">
      <c r="A469" s="234"/>
      <c r="B469" s="235"/>
      <c r="C469" s="78"/>
      <c r="D469" s="78"/>
      <c r="E469" s="15"/>
      <c r="F469" s="66" t="s">
        <v>38</v>
      </c>
      <c r="G469" s="71">
        <f t="shared" si="243"/>
        <v>0</v>
      </c>
      <c r="H469" s="71">
        <f t="shared" si="244"/>
        <v>0</v>
      </c>
      <c r="I469" s="71">
        <f t="shared" si="244"/>
        <v>0</v>
      </c>
      <c r="J469" s="71">
        <f>K469+L469</f>
        <v>0</v>
      </c>
      <c r="K469" s="71">
        <v>0</v>
      </c>
      <c r="L469" s="71">
        <v>0</v>
      </c>
      <c r="M469" s="71">
        <v>0</v>
      </c>
      <c r="N469" s="71">
        <f>O469+P469</f>
        <v>0</v>
      </c>
      <c r="O469" s="71">
        <v>0</v>
      </c>
      <c r="P469" s="71">
        <v>0</v>
      </c>
      <c r="Q469" s="71">
        <v>0</v>
      </c>
    </row>
    <row r="470" spans="1:17" ht="28" customHeight="1" x14ac:dyDescent="0.35">
      <c r="A470" s="234"/>
      <c r="B470" s="235"/>
      <c r="C470" s="78"/>
      <c r="D470" s="78"/>
      <c r="E470" s="15"/>
      <c r="F470" s="66" t="s">
        <v>39</v>
      </c>
      <c r="G470" s="71">
        <f t="shared" si="243"/>
        <v>1892138</v>
      </c>
      <c r="H470" s="71">
        <f t="shared" si="244"/>
        <v>1892138</v>
      </c>
      <c r="I470" s="71">
        <f t="shared" si="244"/>
        <v>0</v>
      </c>
      <c r="J470" s="71">
        <f>K470+L470</f>
        <v>1892138</v>
      </c>
      <c r="K470" s="71">
        <f>1500000-57648+187457+106992+155337</f>
        <v>1892138</v>
      </c>
      <c r="L470" s="71">
        <v>0</v>
      </c>
      <c r="M470" s="71">
        <v>0</v>
      </c>
      <c r="N470" s="71">
        <f>O470+P470</f>
        <v>0</v>
      </c>
      <c r="O470" s="71">
        <v>0</v>
      </c>
      <c r="P470" s="71">
        <v>0</v>
      </c>
      <c r="Q470" s="71">
        <v>0</v>
      </c>
    </row>
    <row r="471" spans="1:17" ht="28" customHeight="1" x14ac:dyDescent="0.35">
      <c r="A471" s="234" t="s">
        <v>413</v>
      </c>
      <c r="B471" s="235" t="s">
        <v>414</v>
      </c>
      <c r="C471" s="56">
        <f>C472</f>
        <v>31967731</v>
      </c>
      <c r="D471" s="57">
        <f>D472</f>
        <v>0</v>
      </c>
      <c r="E471" s="58">
        <f>E472</f>
        <v>0</v>
      </c>
      <c r="F471" s="59" t="s">
        <v>415</v>
      </c>
      <c r="G471" s="58">
        <f t="shared" si="243"/>
        <v>31967731</v>
      </c>
      <c r="H471" s="58">
        <f t="shared" si="244"/>
        <v>31967731</v>
      </c>
      <c r="I471" s="58">
        <f t="shared" si="244"/>
        <v>0</v>
      </c>
      <c r="J471" s="58">
        <f t="shared" ref="J471:Q471" si="254">J472</f>
        <v>31967731</v>
      </c>
      <c r="K471" s="58">
        <f t="shared" si="254"/>
        <v>31967731</v>
      </c>
      <c r="L471" s="58">
        <f t="shared" si="254"/>
        <v>0</v>
      </c>
      <c r="M471" s="58">
        <f t="shared" si="254"/>
        <v>0</v>
      </c>
      <c r="N471" s="58">
        <f t="shared" si="254"/>
        <v>0</v>
      </c>
      <c r="O471" s="58">
        <f t="shared" si="254"/>
        <v>0</v>
      </c>
      <c r="P471" s="58">
        <f t="shared" si="254"/>
        <v>0</v>
      </c>
      <c r="Q471" s="58">
        <f t="shared" si="254"/>
        <v>0</v>
      </c>
    </row>
    <row r="472" spans="1:17" ht="28" customHeight="1" x14ac:dyDescent="0.35">
      <c r="A472" s="234"/>
      <c r="B472" s="235"/>
      <c r="C472" s="69">
        <f>G474+G475</f>
        <v>31967731</v>
      </c>
      <c r="D472" s="60">
        <v>0</v>
      </c>
      <c r="E472" s="60">
        <v>0</v>
      </c>
      <c r="F472" s="61" t="s">
        <v>36</v>
      </c>
      <c r="G472" s="60">
        <f t="shared" si="243"/>
        <v>31967731</v>
      </c>
      <c r="H472" s="60">
        <f t="shared" si="244"/>
        <v>31967731</v>
      </c>
      <c r="I472" s="60">
        <f t="shared" si="244"/>
        <v>0</v>
      </c>
      <c r="J472" s="60">
        <f t="shared" ref="J472:Q472" si="255">J473+J474+J475</f>
        <v>31967731</v>
      </c>
      <c r="K472" s="60">
        <f t="shared" si="255"/>
        <v>31967731</v>
      </c>
      <c r="L472" s="60">
        <f t="shared" si="255"/>
        <v>0</v>
      </c>
      <c r="M472" s="60">
        <f t="shared" si="255"/>
        <v>0</v>
      </c>
      <c r="N472" s="60">
        <f t="shared" si="255"/>
        <v>0</v>
      </c>
      <c r="O472" s="60">
        <f t="shared" si="255"/>
        <v>0</v>
      </c>
      <c r="P472" s="60">
        <f t="shared" si="255"/>
        <v>0</v>
      </c>
      <c r="Q472" s="60">
        <f t="shared" si="255"/>
        <v>0</v>
      </c>
    </row>
    <row r="473" spans="1:17" ht="28" customHeight="1" x14ac:dyDescent="0.35">
      <c r="A473" s="234"/>
      <c r="B473" s="235"/>
      <c r="C473" s="78"/>
      <c r="D473" s="78"/>
      <c r="E473" s="118"/>
      <c r="F473" s="66" t="s">
        <v>37</v>
      </c>
      <c r="G473" s="67">
        <f t="shared" si="243"/>
        <v>0</v>
      </c>
      <c r="H473" s="67">
        <f t="shared" si="244"/>
        <v>0</v>
      </c>
      <c r="I473" s="67">
        <f t="shared" si="244"/>
        <v>0</v>
      </c>
      <c r="J473" s="67">
        <f>K473+L473</f>
        <v>0</v>
      </c>
      <c r="K473" s="67">
        <v>0</v>
      </c>
      <c r="L473" s="67">
        <v>0</v>
      </c>
      <c r="M473" s="67">
        <v>0</v>
      </c>
      <c r="N473" s="67">
        <f>O473+P473</f>
        <v>0</v>
      </c>
      <c r="O473" s="67">
        <v>0</v>
      </c>
      <c r="P473" s="67">
        <v>0</v>
      </c>
      <c r="Q473" s="67">
        <v>0</v>
      </c>
    </row>
    <row r="474" spans="1:17" ht="28" customHeight="1" x14ac:dyDescent="0.35">
      <c r="A474" s="234"/>
      <c r="B474" s="235"/>
      <c r="C474" s="78"/>
      <c r="D474" s="78"/>
      <c r="E474" s="118"/>
      <c r="F474" s="66" t="s">
        <v>38</v>
      </c>
      <c r="G474" s="71">
        <f t="shared" si="243"/>
        <v>0</v>
      </c>
      <c r="H474" s="71">
        <f t="shared" si="244"/>
        <v>0</v>
      </c>
      <c r="I474" s="71">
        <f t="shared" si="244"/>
        <v>0</v>
      </c>
      <c r="J474" s="71">
        <f>K474+L474</f>
        <v>0</v>
      </c>
      <c r="K474" s="71">
        <v>0</v>
      </c>
      <c r="L474" s="71">
        <v>0</v>
      </c>
      <c r="M474" s="71">
        <v>0</v>
      </c>
      <c r="N474" s="71">
        <f>O474+P474</f>
        <v>0</v>
      </c>
      <c r="O474" s="71">
        <v>0</v>
      </c>
      <c r="P474" s="71">
        <v>0</v>
      </c>
      <c r="Q474" s="71">
        <v>0</v>
      </c>
    </row>
    <row r="475" spans="1:17" ht="28" customHeight="1" x14ac:dyDescent="0.35">
      <c r="A475" s="234"/>
      <c r="B475" s="235"/>
      <c r="C475" s="78"/>
      <c r="D475" s="78"/>
      <c r="E475" s="118"/>
      <c r="F475" s="66" t="s">
        <v>39</v>
      </c>
      <c r="G475" s="71">
        <f t="shared" si="243"/>
        <v>31967731</v>
      </c>
      <c r="H475" s="71">
        <f t="shared" si="244"/>
        <v>31967731</v>
      </c>
      <c r="I475" s="71">
        <f t="shared" si="244"/>
        <v>0</v>
      </c>
      <c r="J475" s="71">
        <f>K475+L475</f>
        <v>31967731</v>
      </c>
      <c r="K475" s="71">
        <f>22799276-728606+185063+3000000+410499+44360+294585+3500000+237709+230866+1000000+216990+214017+358941+155370+153643+651477-1883276+1126817</f>
        <v>31967731</v>
      </c>
      <c r="L475" s="71">
        <v>0</v>
      </c>
      <c r="M475" s="71">
        <v>0</v>
      </c>
      <c r="N475" s="71">
        <f>O475+P475</f>
        <v>0</v>
      </c>
      <c r="O475" s="71">
        <v>0</v>
      </c>
      <c r="P475" s="71">
        <v>0</v>
      </c>
      <c r="Q475" s="71">
        <v>0</v>
      </c>
    </row>
    <row r="476" spans="1:17" ht="28" customHeight="1" x14ac:dyDescent="0.35">
      <c r="A476" s="234" t="s">
        <v>416</v>
      </c>
      <c r="B476" s="235" t="s">
        <v>417</v>
      </c>
      <c r="C476" s="56">
        <f>C477</f>
        <v>92560456</v>
      </c>
      <c r="D476" s="57">
        <f>D477</f>
        <v>0</v>
      </c>
      <c r="E476" s="58">
        <f>E477</f>
        <v>0</v>
      </c>
      <c r="F476" s="59" t="s">
        <v>418</v>
      </c>
      <c r="G476" s="58">
        <f t="shared" si="243"/>
        <v>92560456</v>
      </c>
      <c r="H476" s="58">
        <f t="shared" ref="H476:I491" si="256">K476+O476</f>
        <v>91788820</v>
      </c>
      <c r="I476" s="58">
        <f t="shared" si="256"/>
        <v>771636</v>
      </c>
      <c r="J476" s="58">
        <f>J477</f>
        <v>92560456</v>
      </c>
      <c r="K476" s="58">
        <f t="shared" ref="K476:Q476" si="257">K477</f>
        <v>91788820</v>
      </c>
      <c r="L476" s="58">
        <f t="shared" si="257"/>
        <v>771636</v>
      </c>
      <c r="M476" s="58">
        <f t="shared" si="257"/>
        <v>0</v>
      </c>
      <c r="N476" s="58">
        <f t="shared" si="257"/>
        <v>0</v>
      </c>
      <c r="O476" s="58">
        <f t="shared" si="257"/>
        <v>0</v>
      </c>
      <c r="P476" s="58">
        <f t="shared" si="257"/>
        <v>0</v>
      </c>
      <c r="Q476" s="58">
        <f t="shared" si="257"/>
        <v>0</v>
      </c>
    </row>
    <row r="477" spans="1:17" ht="28" customHeight="1" x14ac:dyDescent="0.35">
      <c r="A477" s="234"/>
      <c r="B477" s="235"/>
      <c r="C477" s="69">
        <f>G479+G480</f>
        <v>92560456</v>
      </c>
      <c r="D477" s="60">
        <v>0</v>
      </c>
      <c r="E477" s="60">
        <v>0</v>
      </c>
      <c r="F477" s="61" t="s">
        <v>36</v>
      </c>
      <c r="G477" s="60">
        <f t="shared" si="243"/>
        <v>92560456</v>
      </c>
      <c r="H477" s="60">
        <f t="shared" si="256"/>
        <v>91788820</v>
      </c>
      <c r="I477" s="60">
        <f t="shared" si="256"/>
        <v>771636</v>
      </c>
      <c r="J477" s="60">
        <f>J478+J479+J480</f>
        <v>92560456</v>
      </c>
      <c r="K477" s="60">
        <f t="shared" ref="K477:Q477" si="258">K478+K479+K480</f>
        <v>91788820</v>
      </c>
      <c r="L477" s="60">
        <f t="shared" si="258"/>
        <v>771636</v>
      </c>
      <c r="M477" s="60">
        <f t="shared" si="258"/>
        <v>0</v>
      </c>
      <c r="N477" s="60">
        <f t="shared" si="258"/>
        <v>0</v>
      </c>
      <c r="O477" s="60">
        <f t="shared" si="258"/>
        <v>0</v>
      </c>
      <c r="P477" s="60">
        <f t="shared" si="258"/>
        <v>0</v>
      </c>
      <c r="Q477" s="60">
        <f t="shared" si="258"/>
        <v>0</v>
      </c>
    </row>
    <row r="478" spans="1:17" ht="28" customHeight="1" x14ac:dyDescent="0.35">
      <c r="A478" s="234"/>
      <c r="B478" s="235"/>
      <c r="C478" s="78"/>
      <c r="D478" s="119"/>
      <c r="E478" s="120"/>
      <c r="F478" s="66" t="s">
        <v>37</v>
      </c>
      <c r="G478" s="67">
        <f t="shared" si="243"/>
        <v>0</v>
      </c>
      <c r="H478" s="67">
        <f t="shared" si="256"/>
        <v>0</v>
      </c>
      <c r="I478" s="67">
        <f t="shared" si="256"/>
        <v>0</v>
      </c>
      <c r="J478" s="67">
        <f>K478+L478</f>
        <v>0</v>
      </c>
      <c r="K478" s="67">
        <v>0</v>
      </c>
      <c r="L478" s="67">
        <v>0</v>
      </c>
      <c r="M478" s="67">
        <v>0</v>
      </c>
      <c r="N478" s="67">
        <f>O478+P478</f>
        <v>0</v>
      </c>
      <c r="O478" s="67">
        <v>0</v>
      </c>
      <c r="P478" s="67">
        <v>0</v>
      </c>
      <c r="Q478" s="67">
        <v>0</v>
      </c>
    </row>
    <row r="479" spans="1:17" ht="28" customHeight="1" x14ac:dyDescent="0.35">
      <c r="A479" s="234"/>
      <c r="B479" s="235"/>
      <c r="C479" s="79"/>
      <c r="D479" s="119"/>
      <c r="E479" s="120"/>
      <c r="F479" s="66" t="s">
        <v>38</v>
      </c>
      <c r="G479" s="71">
        <f t="shared" si="243"/>
        <v>0</v>
      </c>
      <c r="H479" s="71">
        <f t="shared" si="256"/>
        <v>0</v>
      </c>
      <c r="I479" s="71">
        <f t="shared" si="256"/>
        <v>0</v>
      </c>
      <c r="J479" s="71">
        <f>K479+L479</f>
        <v>0</v>
      </c>
      <c r="K479" s="71">
        <v>0</v>
      </c>
      <c r="L479" s="71">
        <v>0</v>
      </c>
      <c r="M479" s="71">
        <v>0</v>
      </c>
      <c r="N479" s="71">
        <f>O479+P479</f>
        <v>0</v>
      </c>
      <c r="O479" s="71">
        <v>0</v>
      </c>
      <c r="P479" s="71">
        <v>0</v>
      </c>
      <c r="Q479" s="71">
        <v>0</v>
      </c>
    </row>
    <row r="480" spans="1:17" ht="28" customHeight="1" x14ac:dyDescent="0.35">
      <c r="A480" s="234"/>
      <c r="B480" s="235"/>
      <c r="C480" s="79"/>
      <c r="D480" s="119"/>
      <c r="E480" s="120"/>
      <c r="F480" s="66" t="s">
        <v>39</v>
      </c>
      <c r="G480" s="71">
        <f t="shared" si="243"/>
        <v>92560456</v>
      </c>
      <c r="H480" s="71">
        <f t="shared" si="256"/>
        <v>91788820</v>
      </c>
      <c r="I480" s="71">
        <f t="shared" si="256"/>
        <v>771636</v>
      </c>
      <c r="J480" s="71">
        <f>K480+L480</f>
        <v>92560456</v>
      </c>
      <c r="K480" s="71">
        <f>97222669-1349058-100000-3000000-2000000-973080-294585-3500000-900000-1000000+421391+416081+728606+332545+7784251-2000000</f>
        <v>91788820</v>
      </c>
      <c r="L480" s="71">
        <v>771636</v>
      </c>
      <c r="M480" s="71">
        <v>0</v>
      </c>
      <c r="N480" s="71">
        <f>O480+P480</f>
        <v>0</v>
      </c>
      <c r="O480" s="71">
        <v>0</v>
      </c>
      <c r="P480" s="71">
        <v>0</v>
      </c>
      <c r="Q480" s="71">
        <v>0</v>
      </c>
    </row>
    <row r="481" spans="1:17" ht="27.75" customHeight="1" x14ac:dyDescent="0.35">
      <c r="A481" s="234" t="s">
        <v>419</v>
      </c>
      <c r="B481" s="235" t="s">
        <v>420</v>
      </c>
      <c r="C481" s="56">
        <f>C482</f>
        <v>36300000</v>
      </c>
      <c r="D481" s="57">
        <f>D482</f>
        <v>0</v>
      </c>
      <c r="E481" s="58">
        <f>E482</f>
        <v>0</v>
      </c>
      <c r="F481" s="59" t="s">
        <v>421</v>
      </c>
      <c r="G481" s="58">
        <f t="shared" si="243"/>
        <v>36300000</v>
      </c>
      <c r="H481" s="58">
        <f t="shared" si="256"/>
        <v>36300000</v>
      </c>
      <c r="I481" s="58">
        <f t="shared" si="256"/>
        <v>0</v>
      </c>
      <c r="J481" s="58">
        <f>J482</f>
        <v>36300000</v>
      </c>
      <c r="K481" s="58">
        <f t="shared" ref="K481:Q481" si="259">K482</f>
        <v>36300000</v>
      </c>
      <c r="L481" s="58">
        <f t="shared" si="259"/>
        <v>0</v>
      </c>
      <c r="M481" s="58">
        <f t="shared" si="259"/>
        <v>0</v>
      </c>
      <c r="N481" s="58">
        <f t="shared" si="259"/>
        <v>0</v>
      </c>
      <c r="O481" s="58">
        <f t="shared" si="259"/>
        <v>0</v>
      </c>
      <c r="P481" s="58">
        <f t="shared" si="259"/>
        <v>0</v>
      </c>
      <c r="Q481" s="58">
        <f t="shared" si="259"/>
        <v>0</v>
      </c>
    </row>
    <row r="482" spans="1:17" ht="28" customHeight="1" x14ac:dyDescent="0.35">
      <c r="A482" s="234"/>
      <c r="B482" s="235"/>
      <c r="C482" s="69">
        <f>(J482-E482)*100%</f>
        <v>36300000</v>
      </c>
      <c r="D482" s="60">
        <v>0</v>
      </c>
      <c r="E482" s="60">
        <v>0</v>
      </c>
      <c r="F482" s="61" t="s">
        <v>36</v>
      </c>
      <c r="G482" s="60">
        <f t="shared" si="243"/>
        <v>36300000</v>
      </c>
      <c r="H482" s="60">
        <f t="shared" si="256"/>
        <v>36300000</v>
      </c>
      <c r="I482" s="60">
        <f t="shared" si="256"/>
        <v>0</v>
      </c>
      <c r="J482" s="60">
        <f>J483+J484+J485</f>
        <v>36300000</v>
      </c>
      <c r="K482" s="60">
        <f t="shared" ref="K482:Q482" si="260">K483+K484+K485</f>
        <v>36300000</v>
      </c>
      <c r="L482" s="60">
        <f t="shared" si="260"/>
        <v>0</v>
      </c>
      <c r="M482" s="60">
        <f t="shared" si="260"/>
        <v>0</v>
      </c>
      <c r="N482" s="60">
        <f t="shared" si="260"/>
        <v>0</v>
      </c>
      <c r="O482" s="60">
        <f t="shared" si="260"/>
        <v>0</v>
      </c>
      <c r="P482" s="60">
        <f t="shared" si="260"/>
        <v>0</v>
      </c>
      <c r="Q482" s="60">
        <f t="shared" si="260"/>
        <v>0</v>
      </c>
    </row>
    <row r="483" spans="1:17" ht="28" customHeight="1" x14ac:dyDescent="0.35">
      <c r="A483" s="234"/>
      <c r="B483" s="235"/>
      <c r="C483" s="78"/>
      <c r="D483" s="15"/>
      <c r="E483" s="15"/>
      <c r="F483" s="66" t="s">
        <v>37</v>
      </c>
      <c r="G483" s="67">
        <f t="shared" si="243"/>
        <v>0</v>
      </c>
      <c r="H483" s="67">
        <f t="shared" si="256"/>
        <v>0</v>
      </c>
      <c r="I483" s="67">
        <f t="shared" si="256"/>
        <v>0</v>
      </c>
      <c r="J483" s="67">
        <f>K483+L483</f>
        <v>0</v>
      </c>
      <c r="K483" s="67">
        <v>0</v>
      </c>
      <c r="L483" s="67">
        <v>0</v>
      </c>
      <c r="M483" s="67">
        <v>0</v>
      </c>
      <c r="N483" s="67">
        <f>O483+P483</f>
        <v>0</v>
      </c>
      <c r="O483" s="67">
        <v>0</v>
      </c>
      <c r="P483" s="67">
        <v>0</v>
      </c>
      <c r="Q483" s="67">
        <v>0</v>
      </c>
    </row>
    <row r="484" spans="1:17" ht="28" customHeight="1" x14ac:dyDescent="0.35">
      <c r="A484" s="234"/>
      <c r="B484" s="235"/>
      <c r="C484" s="78"/>
      <c r="D484" s="15"/>
      <c r="E484" s="15"/>
      <c r="F484" s="66" t="s">
        <v>38</v>
      </c>
      <c r="G484" s="71">
        <f t="shared" si="243"/>
        <v>0</v>
      </c>
      <c r="H484" s="71">
        <f t="shared" si="256"/>
        <v>0</v>
      </c>
      <c r="I484" s="71">
        <f t="shared" si="256"/>
        <v>0</v>
      </c>
      <c r="J484" s="71">
        <f>K484+L484</f>
        <v>0</v>
      </c>
      <c r="K484" s="71">
        <v>0</v>
      </c>
      <c r="L484" s="71">
        <v>0</v>
      </c>
      <c r="M484" s="71">
        <v>0</v>
      </c>
      <c r="N484" s="71">
        <f>O484+P484</f>
        <v>0</v>
      </c>
      <c r="O484" s="71">
        <v>0</v>
      </c>
      <c r="P484" s="71">
        <v>0</v>
      </c>
      <c r="Q484" s="71">
        <v>0</v>
      </c>
    </row>
    <row r="485" spans="1:17" ht="28" customHeight="1" x14ac:dyDescent="0.35">
      <c r="A485" s="234"/>
      <c r="B485" s="235"/>
      <c r="C485" s="78"/>
      <c r="D485" s="15"/>
      <c r="E485" s="15"/>
      <c r="F485" s="66" t="s">
        <v>39</v>
      </c>
      <c r="G485" s="71">
        <f t="shared" si="243"/>
        <v>36300000</v>
      </c>
      <c r="H485" s="71">
        <f t="shared" si="256"/>
        <v>36300000</v>
      </c>
      <c r="I485" s="71">
        <f t="shared" si="256"/>
        <v>0</v>
      </c>
      <c r="J485" s="71">
        <f>K485+L485</f>
        <v>36300000</v>
      </c>
      <c r="K485" s="71">
        <f>34300000+2000000</f>
        <v>36300000</v>
      </c>
      <c r="L485" s="71">
        <v>0</v>
      </c>
      <c r="M485" s="71">
        <v>0</v>
      </c>
      <c r="N485" s="71">
        <f>O485+P485</f>
        <v>0</v>
      </c>
      <c r="O485" s="71">
        <v>0</v>
      </c>
      <c r="P485" s="71">
        <v>0</v>
      </c>
      <c r="Q485" s="71">
        <v>0</v>
      </c>
    </row>
    <row r="486" spans="1:17" ht="104" x14ac:dyDescent="0.35">
      <c r="A486" s="87" t="s">
        <v>422</v>
      </c>
      <c r="B486" s="88" t="s">
        <v>423</v>
      </c>
      <c r="C486" s="52">
        <f>C487+C492+C497+C502+C507</f>
        <v>215199720</v>
      </c>
      <c r="D486" s="52">
        <f>D487+D492+D497+D502+D507</f>
        <v>0</v>
      </c>
      <c r="E486" s="52">
        <f>E487+E492+E497+E502+E507</f>
        <v>0</v>
      </c>
      <c r="F486" s="54" t="s">
        <v>424</v>
      </c>
      <c r="G486" s="52">
        <f t="shared" si="243"/>
        <v>215199720</v>
      </c>
      <c r="H486" s="52">
        <f t="shared" si="256"/>
        <v>214949720</v>
      </c>
      <c r="I486" s="52">
        <f t="shared" si="256"/>
        <v>250000</v>
      </c>
      <c r="J486" s="52">
        <f>J487+J492+J497+J502+J507</f>
        <v>215199720</v>
      </c>
      <c r="K486" s="52">
        <f t="shared" ref="K486:Q486" si="261">K487+K492+K497+K502+K507</f>
        <v>214949720</v>
      </c>
      <c r="L486" s="52">
        <f t="shared" si="261"/>
        <v>250000</v>
      </c>
      <c r="M486" s="52">
        <f t="shared" si="261"/>
        <v>0</v>
      </c>
      <c r="N486" s="52">
        <f t="shared" si="261"/>
        <v>0</v>
      </c>
      <c r="O486" s="52">
        <f t="shared" si="261"/>
        <v>0</v>
      </c>
      <c r="P486" s="52">
        <f t="shared" si="261"/>
        <v>0</v>
      </c>
      <c r="Q486" s="52">
        <f t="shared" si="261"/>
        <v>0</v>
      </c>
    </row>
    <row r="487" spans="1:17" ht="29.15" customHeight="1" x14ac:dyDescent="0.35">
      <c r="A487" s="234" t="s">
        <v>425</v>
      </c>
      <c r="B487" s="235" t="s">
        <v>405</v>
      </c>
      <c r="C487" s="56">
        <f>C488</f>
        <v>11120159</v>
      </c>
      <c r="D487" s="57">
        <f>D488</f>
        <v>0</v>
      </c>
      <c r="E487" s="58">
        <f>E488</f>
        <v>0</v>
      </c>
      <c r="F487" s="59" t="s">
        <v>426</v>
      </c>
      <c r="G487" s="58">
        <f t="shared" si="243"/>
        <v>11120159</v>
      </c>
      <c r="H487" s="58">
        <f t="shared" si="256"/>
        <v>10870159</v>
      </c>
      <c r="I487" s="58">
        <f t="shared" si="256"/>
        <v>250000</v>
      </c>
      <c r="J487" s="58">
        <f>J488</f>
        <v>11120159</v>
      </c>
      <c r="K487" s="58">
        <f t="shared" ref="K487:Q487" si="262">K488</f>
        <v>10870159</v>
      </c>
      <c r="L487" s="58">
        <f t="shared" si="262"/>
        <v>250000</v>
      </c>
      <c r="M487" s="58">
        <f t="shared" si="262"/>
        <v>0</v>
      </c>
      <c r="N487" s="58">
        <f t="shared" si="262"/>
        <v>0</v>
      </c>
      <c r="O487" s="58">
        <f t="shared" si="262"/>
        <v>0</v>
      </c>
      <c r="P487" s="58">
        <f t="shared" si="262"/>
        <v>0</v>
      </c>
      <c r="Q487" s="58">
        <f t="shared" si="262"/>
        <v>0</v>
      </c>
    </row>
    <row r="488" spans="1:17" ht="28" customHeight="1" x14ac:dyDescent="0.35">
      <c r="A488" s="234"/>
      <c r="B488" s="235"/>
      <c r="C488" s="69">
        <f>G490+G491</f>
        <v>11120159</v>
      </c>
      <c r="D488" s="60">
        <v>0</v>
      </c>
      <c r="E488" s="60">
        <v>0</v>
      </c>
      <c r="F488" s="61" t="s">
        <v>36</v>
      </c>
      <c r="G488" s="60">
        <f t="shared" si="243"/>
        <v>11120159</v>
      </c>
      <c r="H488" s="60">
        <f t="shared" si="256"/>
        <v>10870159</v>
      </c>
      <c r="I488" s="60">
        <f t="shared" si="256"/>
        <v>250000</v>
      </c>
      <c r="J488" s="60">
        <f>J489+J490+J491</f>
        <v>11120159</v>
      </c>
      <c r="K488" s="60">
        <f t="shared" ref="K488:Q488" si="263">K489+K490+K491</f>
        <v>10870159</v>
      </c>
      <c r="L488" s="60">
        <f t="shared" si="263"/>
        <v>250000</v>
      </c>
      <c r="M488" s="60">
        <f t="shared" si="263"/>
        <v>0</v>
      </c>
      <c r="N488" s="60">
        <f t="shared" si="263"/>
        <v>0</v>
      </c>
      <c r="O488" s="60">
        <f t="shared" si="263"/>
        <v>0</v>
      </c>
      <c r="P488" s="60">
        <f t="shared" si="263"/>
        <v>0</v>
      </c>
      <c r="Q488" s="60">
        <f t="shared" si="263"/>
        <v>0</v>
      </c>
    </row>
    <row r="489" spans="1:17" ht="28" customHeight="1" x14ac:dyDescent="0.35">
      <c r="A489" s="234"/>
      <c r="B489" s="235"/>
      <c r="C489" s="78"/>
      <c r="D489" s="78"/>
      <c r="E489" s="15"/>
      <c r="F489" s="66" t="s">
        <v>37</v>
      </c>
      <c r="G489" s="67">
        <f t="shared" si="243"/>
        <v>0</v>
      </c>
      <c r="H489" s="67">
        <f t="shared" si="256"/>
        <v>0</v>
      </c>
      <c r="I489" s="67">
        <f t="shared" si="256"/>
        <v>0</v>
      </c>
      <c r="J489" s="67">
        <f>K489+L489</f>
        <v>0</v>
      </c>
      <c r="K489" s="67">
        <v>0</v>
      </c>
      <c r="L489" s="67">
        <v>0</v>
      </c>
      <c r="M489" s="67">
        <v>0</v>
      </c>
      <c r="N489" s="67">
        <f>O489+P489</f>
        <v>0</v>
      </c>
      <c r="O489" s="67">
        <v>0</v>
      </c>
      <c r="P489" s="67">
        <v>0</v>
      </c>
      <c r="Q489" s="67">
        <v>0</v>
      </c>
    </row>
    <row r="490" spans="1:17" ht="28" customHeight="1" x14ac:dyDescent="0.35">
      <c r="A490" s="234"/>
      <c r="B490" s="235"/>
      <c r="C490" s="78"/>
      <c r="D490" s="78"/>
      <c r="E490" s="15"/>
      <c r="F490" s="66" t="s">
        <v>38</v>
      </c>
      <c r="G490" s="71">
        <f t="shared" si="243"/>
        <v>11120159</v>
      </c>
      <c r="H490" s="71">
        <f t="shared" si="256"/>
        <v>10870159</v>
      </c>
      <c r="I490" s="71">
        <f t="shared" si="256"/>
        <v>250000</v>
      </c>
      <c r="J490" s="71">
        <f>K490+L490</f>
        <v>11120159</v>
      </c>
      <c r="K490" s="71">
        <f>13100000-1283334-946507</f>
        <v>10870159</v>
      </c>
      <c r="L490" s="71">
        <f>500000-250000</f>
        <v>250000</v>
      </c>
      <c r="M490" s="71">
        <v>0</v>
      </c>
      <c r="N490" s="71">
        <f>O490+P490</f>
        <v>0</v>
      </c>
      <c r="O490" s="71">
        <v>0</v>
      </c>
      <c r="P490" s="71">
        <v>0</v>
      </c>
      <c r="Q490" s="71">
        <v>0</v>
      </c>
    </row>
    <row r="491" spans="1:17" ht="28" customHeight="1" x14ac:dyDescent="0.35">
      <c r="A491" s="234"/>
      <c r="B491" s="235"/>
      <c r="C491" s="78"/>
      <c r="D491" s="78"/>
      <c r="E491" s="15"/>
      <c r="F491" s="66" t="s">
        <v>39</v>
      </c>
      <c r="G491" s="71">
        <f t="shared" si="243"/>
        <v>0</v>
      </c>
      <c r="H491" s="71">
        <f t="shared" si="256"/>
        <v>0</v>
      </c>
      <c r="I491" s="71">
        <f t="shared" si="256"/>
        <v>0</v>
      </c>
      <c r="J491" s="71">
        <f>K491+L491</f>
        <v>0</v>
      </c>
      <c r="K491" s="71">
        <v>0</v>
      </c>
      <c r="L491" s="71">
        <v>0</v>
      </c>
      <c r="M491" s="71">
        <v>0</v>
      </c>
      <c r="N491" s="71">
        <f>O491+P491</f>
        <v>0</v>
      </c>
      <c r="O491" s="71">
        <v>0</v>
      </c>
      <c r="P491" s="71">
        <v>0</v>
      </c>
      <c r="Q491" s="71">
        <v>0</v>
      </c>
    </row>
    <row r="492" spans="1:17" ht="96" customHeight="1" x14ac:dyDescent="0.35">
      <c r="A492" s="234" t="s">
        <v>427</v>
      </c>
      <c r="B492" s="235" t="s">
        <v>408</v>
      </c>
      <c r="C492" s="56">
        <f>C493</f>
        <v>5061968</v>
      </c>
      <c r="D492" s="57">
        <f>D493</f>
        <v>0</v>
      </c>
      <c r="E492" s="58">
        <f>E493</f>
        <v>0</v>
      </c>
      <c r="F492" s="59" t="s">
        <v>428</v>
      </c>
      <c r="G492" s="58">
        <f t="shared" si="243"/>
        <v>5061968</v>
      </c>
      <c r="H492" s="58">
        <f t="shared" ref="H492:I514" si="264">K492+O492</f>
        <v>5061968</v>
      </c>
      <c r="I492" s="58">
        <f t="shared" si="264"/>
        <v>0</v>
      </c>
      <c r="J492" s="58">
        <f>J493</f>
        <v>5061968</v>
      </c>
      <c r="K492" s="58">
        <f t="shared" ref="K492:Q492" si="265">K493</f>
        <v>5061968</v>
      </c>
      <c r="L492" s="58">
        <f t="shared" si="265"/>
        <v>0</v>
      </c>
      <c r="M492" s="58">
        <f t="shared" si="265"/>
        <v>0</v>
      </c>
      <c r="N492" s="58">
        <f t="shared" si="265"/>
        <v>0</v>
      </c>
      <c r="O492" s="58">
        <f t="shared" si="265"/>
        <v>0</v>
      </c>
      <c r="P492" s="58">
        <f t="shared" si="265"/>
        <v>0</v>
      </c>
      <c r="Q492" s="58">
        <f t="shared" si="265"/>
        <v>0</v>
      </c>
    </row>
    <row r="493" spans="1:17" ht="28" customHeight="1" x14ac:dyDescent="0.35">
      <c r="A493" s="234"/>
      <c r="B493" s="235"/>
      <c r="C493" s="69">
        <f>G495+G496</f>
        <v>5061968</v>
      </c>
      <c r="D493" s="60">
        <v>0</v>
      </c>
      <c r="E493" s="60">
        <v>0</v>
      </c>
      <c r="F493" s="61" t="s">
        <v>36</v>
      </c>
      <c r="G493" s="60">
        <f t="shared" si="243"/>
        <v>5061968</v>
      </c>
      <c r="H493" s="60">
        <f t="shared" si="264"/>
        <v>5061968</v>
      </c>
      <c r="I493" s="60">
        <f t="shared" si="264"/>
        <v>0</v>
      </c>
      <c r="J493" s="60">
        <f>J494+J495+J496</f>
        <v>5061968</v>
      </c>
      <c r="K493" s="60">
        <f t="shared" ref="K493:Q493" si="266">K494+K495+K496</f>
        <v>5061968</v>
      </c>
      <c r="L493" s="60">
        <f t="shared" si="266"/>
        <v>0</v>
      </c>
      <c r="M493" s="60">
        <f t="shared" si="266"/>
        <v>0</v>
      </c>
      <c r="N493" s="60">
        <f t="shared" si="266"/>
        <v>0</v>
      </c>
      <c r="O493" s="60">
        <f t="shared" si="266"/>
        <v>0</v>
      </c>
      <c r="P493" s="60">
        <f t="shared" si="266"/>
        <v>0</v>
      </c>
      <c r="Q493" s="60">
        <f t="shared" si="266"/>
        <v>0</v>
      </c>
    </row>
    <row r="494" spans="1:17" ht="28" customHeight="1" x14ac:dyDescent="0.35">
      <c r="A494" s="234"/>
      <c r="B494" s="235"/>
      <c r="C494" s="78"/>
      <c r="D494" s="78"/>
      <c r="E494" s="15"/>
      <c r="F494" s="66" t="s">
        <v>37</v>
      </c>
      <c r="G494" s="67">
        <f t="shared" si="243"/>
        <v>0</v>
      </c>
      <c r="H494" s="67">
        <f t="shared" si="264"/>
        <v>0</v>
      </c>
      <c r="I494" s="67">
        <f t="shared" si="264"/>
        <v>0</v>
      </c>
      <c r="J494" s="67">
        <f>K494+L494</f>
        <v>0</v>
      </c>
      <c r="K494" s="67">
        <v>0</v>
      </c>
      <c r="L494" s="67">
        <v>0</v>
      </c>
      <c r="M494" s="67">
        <v>0</v>
      </c>
      <c r="N494" s="67">
        <f>O494+P494</f>
        <v>0</v>
      </c>
      <c r="O494" s="67">
        <v>0</v>
      </c>
      <c r="P494" s="67">
        <v>0</v>
      </c>
      <c r="Q494" s="67">
        <v>0</v>
      </c>
    </row>
    <row r="495" spans="1:17" ht="28" customHeight="1" x14ac:dyDescent="0.35">
      <c r="A495" s="234"/>
      <c r="B495" s="235"/>
      <c r="C495" s="78"/>
      <c r="D495" s="78"/>
      <c r="E495" s="15"/>
      <c r="F495" s="66" t="s">
        <v>38</v>
      </c>
      <c r="G495" s="71">
        <f t="shared" si="243"/>
        <v>5061968</v>
      </c>
      <c r="H495" s="71">
        <f t="shared" si="264"/>
        <v>5061968</v>
      </c>
      <c r="I495" s="71">
        <f t="shared" si="264"/>
        <v>0</v>
      </c>
      <c r="J495" s="71">
        <f>K495+L495</f>
        <v>5061968</v>
      </c>
      <c r="K495" s="71">
        <f>12500000-1224823-425167-1000000-2504101-621333-220671-103456-1338481</f>
        <v>5061968</v>
      </c>
      <c r="L495" s="71">
        <f>500000-500000</f>
        <v>0</v>
      </c>
      <c r="M495" s="71">
        <v>0</v>
      </c>
      <c r="N495" s="71">
        <f>O495+P495</f>
        <v>0</v>
      </c>
      <c r="O495" s="71">
        <v>0</v>
      </c>
      <c r="P495" s="71">
        <v>0</v>
      </c>
      <c r="Q495" s="71">
        <v>0</v>
      </c>
    </row>
    <row r="496" spans="1:17" ht="28" customHeight="1" x14ac:dyDescent="0.35">
      <c r="A496" s="234"/>
      <c r="B496" s="235"/>
      <c r="C496" s="78"/>
      <c r="D496" s="78"/>
      <c r="E496" s="15"/>
      <c r="F496" s="66" t="s">
        <v>39</v>
      </c>
      <c r="G496" s="71">
        <f t="shared" si="243"/>
        <v>0</v>
      </c>
      <c r="H496" s="71">
        <f t="shared" si="264"/>
        <v>0</v>
      </c>
      <c r="I496" s="71">
        <f t="shared" si="264"/>
        <v>0</v>
      </c>
      <c r="J496" s="71">
        <f>K496+L496</f>
        <v>0</v>
      </c>
      <c r="K496" s="71">
        <v>0</v>
      </c>
      <c r="L496" s="71">
        <v>0</v>
      </c>
      <c r="M496" s="71">
        <v>0</v>
      </c>
      <c r="N496" s="71">
        <f>O496+P496</f>
        <v>0</v>
      </c>
      <c r="O496" s="71">
        <v>0</v>
      </c>
      <c r="P496" s="71">
        <v>0</v>
      </c>
      <c r="Q496" s="71">
        <v>0</v>
      </c>
    </row>
    <row r="497" spans="1:17" ht="28" customHeight="1" x14ac:dyDescent="0.35">
      <c r="A497" s="234" t="s">
        <v>429</v>
      </c>
      <c r="B497" s="235" t="s">
        <v>411</v>
      </c>
      <c r="C497" s="56">
        <f>C498</f>
        <v>1686905</v>
      </c>
      <c r="D497" s="57">
        <f>D498</f>
        <v>0</v>
      </c>
      <c r="E497" s="58">
        <f>E498</f>
        <v>0</v>
      </c>
      <c r="F497" s="59" t="s">
        <v>430</v>
      </c>
      <c r="G497" s="58">
        <f t="shared" si="243"/>
        <v>1686905</v>
      </c>
      <c r="H497" s="58">
        <f t="shared" si="264"/>
        <v>1686905</v>
      </c>
      <c r="I497" s="58">
        <f t="shared" si="264"/>
        <v>0</v>
      </c>
      <c r="J497" s="58">
        <f>J498</f>
        <v>1686905</v>
      </c>
      <c r="K497" s="58">
        <f t="shared" ref="K497:Q497" si="267">K498</f>
        <v>1686905</v>
      </c>
      <c r="L497" s="58">
        <f t="shared" si="267"/>
        <v>0</v>
      </c>
      <c r="M497" s="58">
        <f t="shared" si="267"/>
        <v>0</v>
      </c>
      <c r="N497" s="58">
        <f t="shared" si="267"/>
        <v>0</v>
      </c>
      <c r="O497" s="58">
        <f t="shared" si="267"/>
        <v>0</v>
      </c>
      <c r="P497" s="58">
        <f t="shared" si="267"/>
        <v>0</v>
      </c>
      <c r="Q497" s="58">
        <f t="shared" si="267"/>
        <v>0</v>
      </c>
    </row>
    <row r="498" spans="1:17" ht="28" customHeight="1" x14ac:dyDescent="0.35">
      <c r="A498" s="234"/>
      <c r="B498" s="235"/>
      <c r="C498" s="69">
        <f>G500+G501</f>
        <v>1686905</v>
      </c>
      <c r="D498" s="60">
        <v>0</v>
      </c>
      <c r="E498" s="60">
        <v>0</v>
      </c>
      <c r="F498" s="61" t="s">
        <v>36</v>
      </c>
      <c r="G498" s="60">
        <f t="shared" si="243"/>
        <v>1686905</v>
      </c>
      <c r="H498" s="60">
        <f t="shared" si="264"/>
        <v>1686905</v>
      </c>
      <c r="I498" s="60">
        <f t="shared" si="264"/>
        <v>0</v>
      </c>
      <c r="J498" s="60">
        <f>J499+J500+J501</f>
        <v>1686905</v>
      </c>
      <c r="K498" s="60">
        <f t="shared" ref="K498:Q498" si="268">K499+K500+K501</f>
        <v>1686905</v>
      </c>
      <c r="L498" s="60">
        <f t="shared" si="268"/>
        <v>0</v>
      </c>
      <c r="M498" s="60">
        <f t="shared" si="268"/>
        <v>0</v>
      </c>
      <c r="N498" s="60">
        <f t="shared" si="268"/>
        <v>0</v>
      </c>
      <c r="O498" s="60">
        <f t="shared" si="268"/>
        <v>0</v>
      </c>
      <c r="P498" s="60">
        <f t="shared" si="268"/>
        <v>0</v>
      </c>
      <c r="Q498" s="60">
        <f t="shared" si="268"/>
        <v>0</v>
      </c>
    </row>
    <row r="499" spans="1:17" ht="28" customHeight="1" x14ac:dyDescent="0.35">
      <c r="A499" s="234"/>
      <c r="B499" s="235"/>
      <c r="C499" s="78"/>
      <c r="D499" s="78"/>
      <c r="E499" s="15"/>
      <c r="F499" s="66" t="s">
        <v>37</v>
      </c>
      <c r="G499" s="67">
        <f t="shared" si="243"/>
        <v>0</v>
      </c>
      <c r="H499" s="67">
        <f t="shared" si="264"/>
        <v>0</v>
      </c>
      <c r="I499" s="67">
        <f t="shared" si="264"/>
        <v>0</v>
      </c>
      <c r="J499" s="67">
        <f>K499+L499</f>
        <v>0</v>
      </c>
      <c r="K499" s="67">
        <v>0</v>
      </c>
      <c r="L499" s="67">
        <v>0</v>
      </c>
      <c r="M499" s="67">
        <v>0</v>
      </c>
      <c r="N499" s="67">
        <f>O499+P499</f>
        <v>0</v>
      </c>
      <c r="O499" s="67">
        <v>0</v>
      </c>
      <c r="P499" s="67">
        <v>0</v>
      </c>
      <c r="Q499" s="67">
        <v>0</v>
      </c>
    </row>
    <row r="500" spans="1:17" ht="28" customHeight="1" x14ac:dyDescent="0.35">
      <c r="A500" s="234"/>
      <c r="B500" s="235"/>
      <c r="C500" s="78"/>
      <c r="D500" s="78"/>
      <c r="E500" s="15"/>
      <c r="F500" s="66" t="s">
        <v>38</v>
      </c>
      <c r="G500" s="71">
        <f t="shared" si="243"/>
        <v>1686905</v>
      </c>
      <c r="H500" s="71">
        <f t="shared" si="264"/>
        <v>1686905</v>
      </c>
      <c r="I500" s="71">
        <f t="shared" si="264"/>
        <v>0</v>
      </c>
      <c r="J500" s="71">
        <f>K500+L500</f>
        <v>1686905</v>
      </c>
      <c r="K500" s="71">
        <f>2301715-389446-225364</f>
        <v>1686905</v>
      </c>
      <c r="L500" s="71">
        <v>0</v>
      </c>
      <c r="M500" s="71">
        <v>0</v>
      </c>
      <c r="N500" s="71">
        <f>O500+P500</f>
        <v>0</v>
      </c>
      <c r="O500" s="71">
        <v>0</v>
      </c>
      <c r="P500" s="71">
        <v>0</v>
      </c>
      <c r="Q500" s="71">
        <v>0</v>
      </c>
    </row>
    <row r="501" spans="1:17" ht="28" customHeight="1" x14ac:dyDescent="0.35">
      <c r="A501" s="234"/>
      <c r="B501" s="235"/>
      <c r="C501" s="78"/>
      <c r="D501" s="78"/>
      <c r="E501" s="15"/>
      <c r="F501" s="66" t="s">
        <v>39</v>
      </c>
      <c r="G501" s="71">
        <f t="shared" si="243"/>
        <v>0</v>
      </c>
      <c r="H501" s="71">
        <f t="shared" si="264"/>
        <v>0</v>
      </c>
      <c r="I501" s="71">
        <f t="shared" si="264"/>
        <v>0</v>
      </c>
      <c r="J501" s="71">
        <f>K501+L501</f>
        <v>0</v>
      </c>
      <c r="K501" s="71">
        <v>0</v>
      </c>
      <c r="L501" s="71">
        <v>0</v>
      </c>
      <c r="M501" s="71">
        <v>0</v>
      </c>
      <c r="N501" s="71">
        <f>O501+P501</f>
        <v>0</v>
      </c>
      <c r="O501" s="71">
        <v>0</v>
      </c>
      <c r="P501" s="71">
        <v>0</v>
      </c>
      <c r="Q501" s="71">
        <v>0</v>
      </c>
    </row>
    <row r="502" spans="1:17" ht="28" customHeight="1" x14ac:dyDescent="0.35">
      <c r="A502" s="234" t="s">
        <v>431</v>
      </c>
      <c r="B502" s="235" t="s">
        <v>414</v>
      </c>
      <c r="C502" s="56">
        <f>C503</f>
        <v>40718898</v>
      </c>
      <c r="D502" s="57">
        <f>D503</f>
        <v>0</v>
      </c>
      <c r="E502" s="58">
        <f>E503</f>
        <v>0</v>
      </c>
      <c r="F502" s="59" t="s">
        <v>432</v>
      </c>
      <c r="G502" s="58">
        <f t="shared" si="243"/>
        <v>40718898</v>
      </c>
      <c r="H502" s="58">
        <f t="shared" si="264"/>
        <v>40718898</v>
      </c>
      <c r="I502" s="58">
        <f t="shared" si="264"/>
        <v>0</v>
      </c>
      <c r="J502" s="58">
        <f>J503</f>
        <v>40718898</v>
      </c>
      <c r="K502" s="58">
        <f t="shared" ref="K502:Q502" si="269">K503</f>
        <v>40718898</v>
      </c>
      <c r="L502" s="58">
        <f t="shared" si="269"/>
        <v>0</v>
      </c>
      <c r="M502" s="58">
        <f t="shared" si="269"/>
        <v>0</v>
      </c>
      <c r="N502" s="58">
        <f t="shared" si="269"/>
        <v>0</v>
      </c>
      <c r="O502" s="58">
        <f t="shared" si="269"/>
        <v>0</v>
      </c>
      <c r="P502" s="58">
        <f t="shared" si="269"/>
        <v>0</v>
      </c>
      <c r="Q502" s="58">
        <f t="shared" si="269"/>
        <v>0</v>
      </c>
    </row>
    <row r="503" spans="1:17" ht="28" customHeight="1" x14ac:dyDescent="0.35">
      <c r="A503" s="234"/>
      <c r="B503" s="235"/>
      <c r="C503" s="69">
        <f>G505+G506</f>
        <v>40718898</v>
      </c>
      <c r="D503" s="60">
        <v>0</v>
      </c>
      <c r="E503" s="60">
        <v>0</v>
      </c>
      <c r="F503" s="61" t="s">
        <v>36</v>
      </c>
      <c r="G503" s="60">
        <f t="shared" si="243"/>
        <v>40718898</v>
      </c>
      <c r="H503" s="60">
        <f t="shared" si="264"/>
        <v>40718898</v>
      </c>
      <c r="I503" s="60">
        <f t="shared" si="264"/>
        <v>0</v>
      </c>
      <c r="J503" s="60">
        <f>J504+J505+J506</f>
        <v>40718898</v>
      </c>
      <c r="K503" s="60">
        <f t="shared" ref="K503:Q503" si="270">K504+K505+K506</f>
        <v>40718898</v>
      </c>
      <c r="L503" s="60">
        <f t="shared" si="270"/>
        <v>0</v>
      </c>
      <c r="M503" s="60">
        <f t="shared" si="270"/>
        <v>0</v>
      </c>
      <c r="N503" s="60">
        <f t="shared" si="270"/>
        <v>0</v>
      </c>
      <c r="O503" s="60">
        <f t="shared" si="270"/>
        <v>0</v>
      </c>
      <c r="P503" s="60">
        <f t="shared" si="270"/>
        <v>0</v>
      </c>
      <c r="Q503" s="60">
        <f t="shared" si="270"/>
        <v>0</v>
      </c>
    </row>
    <row r="504" spans="1:17" ht="28" customHeight="1" x14ac:dyDescent="0.35">
      <c r="A504" s="234"/>
      <c r="B504" s="235"/>
      <c r="C504" s="78"/>
      <c r="D504" s="78"/>
      <c r="E504" s="121"/>
      <c r="F504" s="66" t="s">
        <v>37</v>
      </c>
      <c r="G504" s="67">
        <f t="shared" si="243"/>
        <v>0</v>
      </c>
      <c r="H504" s="67">
        <f t="shared" si="264"/>
        <v>0</v>
      </c>
      <c r="I504" s="67">
        <f t="shared" si="264"/>
        <v>0</v>
      </c>
      <c r="J504" s="67">
        <f>K504+L504</f>
        <v>0</v>
      </c>
      <c r="K504" s="67">
        <v>0</v>
      </c>
      <c r="L504" s="67">
        <v>0</v>
      </c>
      <c r="M504" s="67">
        <v>0</v>
      </c>
      <c r="N504" s="67">
        <f>O504+P504</f>
        <v>0</v>
      </c>
      <c r="O504" s="67">
        <v>0</v>
      </c>
      <c r="P504" s="67">
        <v>0</v>
      </c>
      <c r="Q504" s="67">
        <v>0</v>
      </c>
    </row>
    <row r="505" spans="1:17" ht="28" customHeight="1" x14ac:dyDescent="0.35">
      <c r="A505" s="234"/>
      <c r="B505" s="235"/>
      <c r="C505" s="78"/>
      <c r="D505" s="78"/>
      <c r="E505" s="121"/>
      <c r="F505" s="66" t="s">
        <v>38</v>
      </c>
      <c r="G505" s="71">
        <f t="shared" si="243"/>
        <v>40718898</v>
      </c>
      <c r="H505" s="71">
        <f t="shared" si="264"/>
        <v>40718898</v>
      </c>
      <c r="I505" s="71">
        <f t="shared" si="264"/>
        <v>0</v>
      </c>
      <c r="J505" s="71">
        <f>K505+L505</f>
        <v>40718898</v>
      </c>
      <c r="K505" s="71">
        <f>37416724-800000+389446+425167+225364+1000000+103456+1202282+1883276-1126817</f>
        <v>40718898</v>
      </c>
      <c r="L505" s="71">
        <v>0</v>
      </c>
      <c r="M505" s="71">
        <v>0</v>
      </c>
      <c r="N505" s="71">
        <f>O505+P505</f>
        <v>0</v>
      </c>
      <c r="O505" s="71">
        <v>0</v>
      </c>
      <c r="P505" s="71">
        <v>0</v>
      </c>
      <c r="Q505" s="71">
        <v>0</v>
      </c>
    </row>
    <row r="506" spans="1:17" ht="28" customHeight="1" x14ac:dyDescent="0.35">
      <c r="A506" s="234"/>
      <c r="B506" s="235"/>
      <c r="C506" s="78"/>
      <c r="D506" s="78"/>
      <c r="E506" s="121"/>
      <c r="F506" s="66" t="s">
        <v>39</v>
      </c>
      <c r="G506" s="71">
        <f t="shared" si="243"/>
        <v>0</v>
      </c>
      <c r="H506" s="71">
        <f t="shared" si="264"/>
        <v>0</v>
      </c>
      <c r="I506" s="71">
        <f t="shared" si="264"/>
        <v>0</v>
      </c>
      <c r="J506" s="71">
        <f>K506+L506</f>
        <v>0</v>
      </c>
      <c r="K506" s="71">
        <v>0</v>
      </c>
      <c r="L506" s="71">
        <v>0</v>
      </c>
      <c r="M506" s="71">
        <v>0</v>
      </c>
      <c r="N506" s="71">
        <f>O506+P506</f>
        <v>0</v>
      </c>
      <c r="O506" s="71">
        <v>0</v>
      </c>
      <c r="P506" s="71">
        <v>0</v>
      </c>
      <c r="Q506" s="71">
        <v>0</v>
      </c>
    </row>
    <row r="507" spans="1:17" ht="28" customHeight="1" x14ac:dyDescent="0.35">
      <c r="A507" s="236" t="s">
        <v>433</v>
      </c>
      <c r="B507" s="235" t="s">
        <v>417</v>
      </c>
      <c r="C507" s="56">
        <f>C508</f>
        <v>156611790</v>
      </c>
      <c r="D507" s="57"/>
      <c r="E507" s="58"/>
      <c r="F507" s="59" t="s">
        <v>434</v>
      </c>
      <c r="G507" s="58">
        <f t="shared" si="243"/>
        <v>156611790</v>
      </c>
      <c r="H507" s="58">
        <f t="shared" si="264"/>
        <v>156611790</v>
      </c>
      <c r="I507" s="58">
        <f t="shared" si="264"/>
        <v>0</v>
      </c>
      <c r="J507" s="58">
        <f>J508</f>
        <v>156611790</v>
      </c>
      <c r="K507" s="58">
        <f t="shared" ref="K507:Q507" si="271">K508</f>
        <v>156611790</v>
      </c>
      <c r="L507" s="58">
        <f t="shared" si="271"/>
        <v>0</v>
      </c>
      <c r="M507" s="58">
        <f t="shared" si="271"/>
        <v>0</v>
      </c>
      <c r="N507" s="58">
        <f t="shared" si="271"/>
        <v>0</v>
      </c>
      <c r="O507" s="58">
        <f t="shared" si="271"/>
        <v>0</v>
      </c>
      <c r="P507" s="58">
        <f t="shared" si="271"/>
        <v>0</v>
      </c>
      <c r="Q507" s="58">
        <f t="shared" si="271"/>
        <v>0</v>
      </c>
    </row>
    <row r="508" spans="1:17" ht="28" customHeight="1" x14ac:dyDescent="0.35">
      <c r="A508" s="237"/>
      <c r="B508" s="235"/>
      <c r="C508" s="69">
        <f>G510+G511</f>
        <v>156611790</v>
      </c>
      <c r="D508" s="60"/>
      <c r="E508" s="60"/>
      <c r="F508" s="61" t="s">
        <v>36</v>
      </c>
      <c r="G508" s="60">
        <f t="shared" si="243"/>
        <v>156611790</v>
      </c>
      <c r="H508" s="60">
        <f t="shared" si="264"/>
        <v>156611790</v>
      </c>
      <c r="I508" s="60">
        <f t="shared" si="264"/>
        <v>0</v>
      </c>
      <c r="J508" s="60">
        <f>J509+J510+J511</f>
        <v>156611790</v>
      </c>
      <c r="K508" s="60">
        <f t="shared" ref="K508:Q508" si="272">K509+K510+K511</f>
        <v>156611790</v>
      </c>
      <c r="L508" s="60">
        <f t="shared" si="272"/>
        <v>0</v>
      </c>
      <c r="M508" s="60">
        <f t="shared" si="272"/>
        <v>0</v>
      </c>
      <c r="N508" s="60">
        <f t="shared" si="272"/>
        <v>0</v>
      </c>
      <c r="O508" s="60">
        <f t="shared" si="272"/>
        <v>0</v>
      </c>
      <c r="P508" s="60">
        <f t="shared" si="272"/>
        <v>0</v>
      </c>
      <c r="Q508" s="60">
        <f t="shared" si="272"/>
        <v>0</v>
      </c>
    </row>
    <row r="509" spans="1:17" ht="28" customHeight="1" x14ac:dyDescent="0.35">
      <c r="A509" s="237"/>
      <c r="B509" s="235"/>
      <c r="C509" s="78"/>
      <c r="D509" s="78"/>
      <c r="E509" s="121"/>
      <c r="F509" s="66" t="s">
        <v>37</v>
      </c>
      <c r="G509" s="67">
        <f t="shared" si="243"/>
        <v>0</v>
      </c>
      <c r="H509" s="67">
        <f t="shared" si="264"/>
        <v>0</v>
      </c>
      <c r="I509" s="67">
        <f t="shared" si="264"/>
        <v>0</v>
      </c>
      <c r="J509" s="67">
        <f t="shared" ref="J509:J511" si="273">K509+L509</f>
        <v>0</v>
      </c>
      <c r="K509" s="67">
        <v>0</v>
      </c>
      <c r="L509" s="67">
        <v>0</v>
      </c>
      <c r="M509" s="67">
        <v>0</v>
      </c>
      <c r="N509" s="67">
        <f>O509+P509</f>
        <v>0</v>
      </c>
      <c r="O509" s="67">
        <v>0</v>
      </c>
      <c r="P509" s="67">
        <v>0</v>
      </c>
      <c r="Q509" s="67">
        <v>0</v>
      </c>
    </row>
    <row r="510" spans="1:17" ht="28" customHeight="1" x14ac:dyDescent="0.35">
      <c r="A510" s="237"/>
      <c r="B510" s="235"/>
      <c r="C510" s="78"/>
      <c r="D510" s="78"/>
      <c r="E510" s="121"/>
      <c r="F510" s="66" t="s">
        <v>38</v>
      </c>
      <c r="G510" s="71">
        <f t="shared" si="243"/>
        <v>156611790</v>
      </c>
      <c r="H510" s="71">
        <f t="shared" si="264"/>
        <v>156611790</v>
      </c>
      <c r="I510" s="71">
        <f t="shared" si="264"/>
        <v>0</v>
      </c>
      <c r="J510" s="71">
        <f t="shared" si="273"/>
        <v>156611790</v>
      </c>
      <c r="K510" s="71">
        <f>163191591-6579801</f>
        <v>156611790</v>
      </c>
      <c r="L510" s="71">
        <v>0</v>
      </c>
      <c r="M510" s="71">
        <v>0</v>
      </c>
      <c r="N510" s="71">
        <f>O510+P510</f>
        <v>0</v>
      </c>
      <c r="O510" s="71">
        <v>0</v>
      </c>
      <c r="P510" s="71">
        <v>0</v>
      </c>
      <c r="Q510" s="71">
        <v>0</v>
      </c>
    </row>
    <row r="511" spans="1:17" ht="28" customHeight="1" x14ac:dyDescent="0.35">
      <c r="A511" s="238"/>
      <c r="B511" s="235"/>
      <c r="C511" s="78"/>
      <c r="D511" s="78"/>
      <c r="E511" s="121"/>
      <c r="F511" s="66" t="s">
        <v>39</v>
      </c>
      <c r="G511" s="71">
        <f t="shared" si="243"/>
        <v>0</v>
      </c>
      <c r="H511" s="71">
        <f t="shared" si="264"/>
        <v>0</v>
      </c>
      <c r="I511" s="71">
        <f t="shared" si="264"/>
        <v>0</v>
      </c>
      <c r="J511" s="71">
        <f t="shared" si="273"/>
        <v>0</v>
      </c>
      <c r="K511" s="71">
        <v>0</v>
      </c>
      <c r="L511" s="71">
        <v>0</v>
      </c>
      <c r="M511" s="71">
        <v>0</v>
      </c>
      <c r="N511" s="71">
        <f>O511+P511</f>
        <v>0</v>
      </c>
      <c r="O511" s="71">
        <v>0</v>
      </c>
      <c r="P511" s="71">
        <v>0</v>
      </c>
      <c r="Q511" s="71">
        <v>0</v>
      </c>
    </row>
    <row r="512" spans="1:17" s="55" customFormat="1" ht="28.5" x14ac:dyDescent="0.35">
      <c r="A512" s="39" t="s">
        <v>435</v>
      </c>
      <c r="B512" s="40" t="s">
        <v>11</v>
      </c>
      <c r="C512" s="41">
        <f t="shared" ref="C512:E513" si="274">C513</f>
        <v>0</v>
      </c>
      <c r="D512" s="41">
        <f t="shared" si="274"/>
        <v>0</v>
      </c>
      <c r="E512" s="42">
        <f t="shared" si="274"/>
        <v>70415600</v>
      </c>
      <c r="F512" s="43"/>
      <c r="G512" s="42">
        <f t="shared" ref="G512:Q513" si="275">G513</f>
        <v>440658242</v>
      </c>
      <c r="H512" s="42">
        <f t="shared" si="264"/>
        <v>0</v>
      </c>
      <c r="I512" s="42">
        <f t="shared" si="264"/>
        <v>0</v>
      </c>
      <c r="J512" s="42">
        <f t="shared" si="275"/>
        <v>0</v>
      </c>
      <c r="K512" s="42">
        <f t="shared" si="275"/>
        <v>0</v>
      </c>
      <c r="L512" s="42">
        <f t="shared" si="275"/>
        <v>0</v>
      </c>
      <c r="M512" s="42">
        <f t="shared" si="275"/>
        <v>0</v>
      </c>
      <c r="N512" s="42">
        <f t="shared" si="275"/>
        <v>0</v>
      </c>
      <c r="O512" s="42">
        <f t="shared" si="275"/>
        <v>0</v>
      </c>
      <c r="P512" s="42">
        <f t="shared" si="275"/>
        <v>0</v>
      </c>
      <c r="Q512" s="42">
        <f t="shared" si="275"/>
        <v>440658242</v>
      </c>
    </row>
    <row r="513" spans="1:17" s="55" customFormat="1" ht="28.5" x14ac:dyDescent="0.35">
      <c r="A513" s="45" t="s">
        <v>436</v>
      </c>
      <c r="B513" s="46" t="s">
        <v>11</v>
      </c>
      <c r="C513" s="47">
        <f t="shared" si="274"/>
        <v>0</v>
      </c>
      <c r="D513" s="47">
        <f t="shared" si="274"/>
        <v>0</v>
      </c>
      <c r="E513" s="48">
        <f t="shared" si="274"/>
        <v>70415600</v>
      </c>
      <c r="F513" s="49"/>
      <c r="G513" s="48">
        <f t="shared" si="275"/>
        <v>440658242</v>
      </c>
      <c r="H513" s="48">
        <f t="shared" si="264"/>
        <v>0</v>
      </c>
      <c r="I513" s="48">
        <f t="shared" si="264"/>
        <v>0</v>
      </c>
      <c r="J513" s="48">
        <f t="shared" si="275"/>
        <v>0</v>
      </c>
      <c r="K513" s="48">
        <f t="shared" si="275"/>
        <v>0</v>
      </c>
      <c r="L513" s="48">
        <f t="shared" si="275"/>
        <v>0</v>
      </c>
      <c r="M513" s="48">
        <f t="shared" si="275"/>
        <v>0</v>
      </c>
      <c r="N513" s="48">
        <f t="shared" si="275"/>
        <v>0</v>
      </c>
      <c r="O513" s="48">
        <f t="shared" si="275"/>
        <v>0</v>
      </c>
      <c r="P513" s="48">
        <f t="shared" si="275"/>
        <v>0</v>
      </c>
      <c r="Q513" s="48">
        <f t="shared" si="275"/>
        <v>440658242</v>
      </c>
    </row>
    <row r="514" spans="1:17" ht="130" x14ac:dyDescent="0.35">
      <c r="A514" s="87" t="s">
        <v>437</v>
      </c>
      <c r="B514" s="88" t="s">
        <v>438</v>
      </c>
      <c r="C514" s="52">
        <f>C515+C523+C528+C531+C539+C544+C547+C552</f>
        <v>0</v>
      </c>
      <c r="D514" s="52">
        <f>D515+D523+D528+D531+D539+D544+D547+D552</f>
        <v>0</v>
      </c>
      <c r="E514" s="53">
        <f>E515+E523+E528+E531+E539+E544+E547+E552</f>
        <v>70415600</v>
      </c>
      <c r="F514" s="54" t="s">
        <v>439</v>
      </c>
      <c r="G514" s="52">
        <f>J514+M514+N514+Q514</f>
        <v>440658242</v>
      </c>
      <c r="H514" s="52">
        <f>K514+O514</f>
        <v>0</v>
      </c>
      <c r="I514" s="52">
        <f t="shared" si="264"/>
        <v>0</v>
      </c>
      <c r="J514" s="52">
        <f t="shared" ref="J514:Q514" si="276">J515+J523+J528+J531+J539+J544+J547+J552</f>
        <v>0</v>
      </c>
      <c r="K514" s="52">
        <f t="shared" si="276"/>
        <v>0</v>
      </c>
      <c r="L514" s="52">
        <f t="shared" si="276"/>
        <v>0</v>
      </c>
      <c r="M514" s="52">
        <f t="shared" si="276"/>
        <v>0</v>
      </c>
      <c r="N514" s="52">
        <f t="shared" si="276"/>
        <v>0</v>
      </c>
      <c r="O514" s="52">
        <f t="shared" si="276"/>
        <v>0</v>
      </c>
      <c r="P514" s="52">
        <f t="shared" si="276"/>
        <v>0</v>
      </c>
      <c r="Q514" s="52">
        <f t="shared" si="276"/>
        <v>440658242</v>
      </c>
    </row>
    <row r="515" spans="1:17" ht="28" customHeight="1" x14ac:dyDescent="0.35">
      <c r="A515" s="214" t="s">
        <v>440</v>
      </c>
      <c r="B515" s="215" t="s">
        <v>441</v>
      </c>
      <c r="C515" s="57">
        <f>C516+C518+C520</f>
        <v>0</v>
      </c>
      <c r="D515" s="57">
        <f>D516+D518+D520</f>
        <v>0</v>
      </c>
      <c r="E515" s="57">
        <f>E516+E518+E520</f>
        <v>44915600</v>
      </c>
      <c r="F515" s="59" t="s">
        <v>442</v>
      </c>
      <c r="G515" s="58">
        <f>J515+M515+N515+Q515</f>
        <v>48643000</v>
      </c>
      <c r="H515" s="58">
        <f>K515+O515</f>
        <v>0</v>
      </c>
      <c r="I515" s="58">
        <f>L515+P515</f>
        <v>0</v>
      </c>
      <c r="J515" s="58">
        <f t="shared" ref="J515:P515" si="277">J516+J520</f>
        <v>0</v>
      </c>
      <c r="K515" s="58">
        <f t="shared" si="277"/>
        <v>0</v>
      </c>
      <c r="L515" s="58">
        <f t="shared" si="277"/>
        <v>0</v>
      </c>
      <c r="M515" s="58">
        <f t="shared" si="277"/>
        <v>0</v>
      </c>
      <c r="N515" s="58">
        <f t="shared" si="277"/>
        <v>0</v>
      </c>
      <c r="O515" s="58">
        <f t="shared" si="277"/>
        <v>0</v>
      </c>
      <c r="P515" s="58">
        <f t="shared" si="277"/>
        <v>0</v>
      </c>
      <c r="Q515" s="58">
        <f>Q516+Q518+Q520</f>
        <v>48643000</v>
      </c>
    </row>
    <row r="516" spans="1:17" ht="28" customHeight="1" x14ac:dyDescent="0.35">
      <c r="A516" s="214"/>
      <c r="B516" s="215"/>
      <c r="C516" s="60">
        <v>0</v>
      </c>
      <c r="D516" s="60">
        <v>0</v>
      </c>
      <c r="E516" s="60">
        <v>0</v>
      </c>
      <c r="F516" s="61" t="s">
        <v>36</v>
      </c>
      <c r="G516" s="60">
        <f>J516+M516+N516+Q516</f>
        <v>3727400</v>
      </c>
      <c r="H516" s="60">
        <f>K516+O516</f>
        <v>0</v>
      </c>
      <c r="I516" s="60">
        <f>L516+P516</f>
        <v>0</v>
      </c>
      <c r="J516" s="60">
        <f>K516+L516</f>
        <v>0</v>
      </c>
      <c r="K516" s="60">
        <v>0</v>
      </c>
      <c r="L516" s="60">
        <v>0</v>
      </c>
      <c r="M516" s="60">
        <v>0</v>
      </c>
      <c r="N516" s="60">
        <f>O516+P516</f>
        <v>0</v>
      </c>
      <c r="O516" s="77">
        <v>0</v>
      </c>
      <c r="P516" s="77">
        <v>0</v>
      </c>
      <c r="Q516" s="60">
        <f>Q517</f>
        <v>3727400</v>
      </c>
    </row>
    <row r="517" spans="1:17" ht="28" customHeight="1" x14ac:dyDescent="0.35">
      <c r="A517" s="214"/>
      <c r="B517" s="215"/>
      <c r="C517" s="90"/>
      <c r="D517" s="73"/>
      <c r="E517" s="73"/>
      <c r="F517" s="66" t="s">
        <v>37</v>
      </c>
      <c r="G517" s="67">
        <f t="shared" ref="G517:O517" si="278">G516</f>
        <v>3727400</v>
      </c>
      <c r="H517" s="67">
        <f t="shared" si="278"/>
        <v>0</v>
      </c>
      <c r="I517" s="67">
        <f t="shared" si="278"/>
        <v>0</v>
      </c>
      <c r="J517" s="67">
        <f t="shared" si="278"/>
        <v>0</v>
      </c>
      <c r="K517" s="67">
        <f t="shared" si="278"/>
        <v>0</v>
      </c>
      <c r="L517" s="67">
        <f t="shared" si="278"/>
        <v>0</v>
      </c>
      <c r="M517" s="67">
        <f t="shared" si="278"/>
        <v>0</v>
      </c>
      <c r="N517" s="67">
        <f t="shared" si="278"/>
        <v>0</v>
      </c>
      <c r="O517" s="67">
        <f t="shared" si="278"/>
        <v>0</v>
      </c>
      <c r="P517" s="67">
        <f>P516</f>
        <v>0</v>
      </c>
      <c r="Q517" s="67">
        <v>3727400</v>
      </c>
    </row>
    <row r="518" spans="1:17" ht="28" customHeight="1" x14ac:dyDescent="0.35">
      <c r="A518" s="214"/>
      <c r="B518" s="215"/>
      <c r="C518" s="60"/>
      <c r="D518" s="60">
        <v>0</v>
      </c>
      <c r="E518" s="72">
        <f>G519</f>
        <v>39915600</v>
      </c>
      <c r="F518" s="61" t="s">
        <v>40</v>
      </c>
      <c r="G518" s="60">
        <f t="shared" ref="G518:P518" si="279">G519</f>
        <v>39915600</v>
      </c>
      <c r="H518" s="60">
        <f t="shared" si="279"/>
        <v>0</v>
      </c>
      <c r="I518" s="60">
        <f t="shared" si="279"/>
        <v>0</v>
      </c>
      <c r="J518" s="60">
        <f t="shared" si="279"/>
        <v>0</v>
      </c>
      <c r="K518" s="60">
        <f t="shared" si="279"/>
        <v>0</v>
      </c>
      <c r="L518" s="60">
        <f t="shared" si="279"/>
        <v>0</v>
      </c>
      <c r="M518" s="60">
        <f t="shared" si="279"/>
        <v>0</v>
      </c>
      <c r="N518" s="60">
        <f t="shared" si="279"/>
        <v>0</v>
      </c>
      <c r="O518" s="60">
        <f t="shared" si="279"/>
        <v>0</v>
      </c>
      <c r="P518" s="60">
        <f t="shared" si="279"/>
        <v>0</v>
      </c>
      <c r="Q518" s="60">
        <f>Q519</f>
        <v>39915600</v>
      </c>
    </row>
    <row r="519" spans="1:17" ht="28" customHeight="1" x14ac:dyDescent="0.35">
      <c r="A519" s="214"/>
      <c r="B519" s="215"/>
      <c r="C519" s="90"/>
      <c r="D519" s="73"/>
      <c r="E519" s="73"/>
      <c r="F519" s="66" t="s">
        <v>42</v>
      </c>
      <c r="G519" s="74">
        <f>Q519</f>
        <v>39915600</v>
      </c>
      <c r="H519" s="74">
        <v>0</v>
      </c>
      <c r="I519" s="74">
        <v>0</v>
      </c>
      <c r="J519" s="74">
        <v>0</v>
      </c>
      <c r="K519" s="74">
        <v>0</v>
      </c>
      <c r="L519" s="74">
        <v>0</v>
      </c>
      <c r="M519" s="74">
        <v>0</v>
      </c>
      <c r="N519" s="74">
        <v>0</v>
      </c>
      <c r="O519" s="74">
        <v>0</v>
      </c>
      <c r="P519" s="74">
        <v>0</v>
      </c>
      <c r="Q519" s="74">
        <v>39915600</v>
      </c>
    </row>
    <row r="520" spans="1:17" ht="28" customHeight="1" x14ac:dyDescent="0.35">
      <c r="A520" s="214"/>
      <c r="B520" s="215"/>
      <c r="C520" s="60">
        <v>0</v>
      </c>
      <c r="D520" s="60">
        <v>0</v>
      </c>
      <c r="E520" s="72">
        <f>G522</f>
        <v>5000000</v>
      </c>
      <c r="F520" s="61" t="s">
        <v>321</v>
      </c>
      <c r="G520" s="60">
        <f>J520+M520+N520+Q520</f>
        <v>5000000</v>
      </c>
      <c r="H520" s="60">
        <f>K520+O520</f>
        <v>0</v>
      </c>
      <c r="I520" s="60">
        <f>L520+P520</f>
        <v>0</v>
      </c>
      <c r="J520" s="60">
        <f>K520+L520</f>
        <v>0</v>
      </c>
      <c r="K520" s="60">
        <v>0</v>
      </c>
      <c r="L520" s="60">
        <v>0</v>
      </c>
      <c r="M520" s="60">
        <v>0</v>
      </c>
      <c r="N520" s="60">
        <v>0</v>
      </c>
      <c r="O520" s="77">
        <v>0</v>
      </c>
      <c r="P520" s="77">
        <v>0</v>
      </c>
      <c r="Q520" s="60">
        <v>5000000</v>
      </c>
    </row>
    <row r="521" spans="1:17" ht="28" customHeight="1" x14ac:dyDescent="0.35">
      <c r="A521" s="214"/>
      <c r="B521" s="215"/>
      <c r="C521" s="90"/>
      <c r="D521" s="73"/>
      <c r="E521" s="73"/>
      <c r="F521" s="66" t="s">
        <v>322</v>
      </c>
      <c r="G521" s="67">
        <f t="shared" ref="G521:P521" si="280">G520-G522</f>
        <v>0</v>
      </c>
      <c r="H521" s="67">
        <f t="shared" si="280"/>
        <v>0</v>
      </c>
      <c r="I521" s="67">
        <f t="shared" si="280"/>
        <v>0</v>
      </c>
      <c r="J521" s="67">
        <f t="shared" si="280"/>
        <v>0</v>
      </c>
      <c r="K521" s="67">
        <f t="shared" si="280"/>
        <v>0</v>
      </c>
      <c r="L521" s="67">
        <f t="shared" si="280"/>
        <v>0</v>
      </c>
      <c r="M521" s="67">
        <f t="shared" si="280"/>
        <v>0</v>
      </c>
      <c r="N521" s="67">
        <f t="shared" si="280"/>
        <v>0</v>
      </c>
      <c r="O521" s="67">
        <f t="shared" si="280"/>
        <v>0</v>
      </c>
      <c r="P521" s="67">
        <f t="shared" si="280"/>
        <v>0</v>
      </c>
      <c r="Q521" s="67">
        <v>0</v>
      </c>
    </row>
    <row r="522" spans="1:17" ht="28" customHeight="1" x14ac:dyDescent="0.35">
      <c r="A522" s="214"/>
      <c r="B522" s="215"/>
      <c r="C522" s="90"/>
      <c r="D522" s="73"/>
      <c r="E522" s="73"/>
      <c r="F522" s="66" t="s">
        <v>338</v>
      </c>
      <c r="G522" s="74">
        <f>Q522</f>
        <v>5000000</v>
      </c>
      <c r="H522" s="74">
        <v>0</v>
      </c>
      <c r="I522" s="74">
        <v>0</v>
      </c>
      <c r="J522" s="74">
        <v>0</v>
      </c>
      <c r="K522" s="74">
        <v>0</v>
      </c>
      <c r="L522" s="74">
        <v>0</v>
      </c>
      <c r="M522" s="74">
        <v>0</v>
      </c>
      <c r="N522" s="74">
        <v>0</v>
      </c>
      <c r="O522" s="74">
        <v>0</v>
      </c>
      <c r="P522" s="74">
        <v>0</v>
      </c>
      <c r="Q522" s="74">
        <v>5000000</v>
      </c>
    </row>
    <row r="523" spans="1:17" ht="28" customHeight="1" x14ac:dyDescent="0.35">
      <c r="A523" s="214" t="s">
        <v>443</v>
      </c>
      <c r="B523" s="215" t="s">
        <v>444</v>
      </c>
      <c r="C523" s="56">
        <f>C526</f>
        <v>0</v>
      </c>
      <c r="D523" s="57">
        <f>D524+D526</f>
        <v>0</v>
      </c>
      <c r="E523" s="57">
        <f>E524+E526</f>
        <v>0</v>
      </c>
      <c r="F523" s="59" t="s">
        <v>445</v>
      </c>
      <c r="G523" s="58">
        <f>J523+M523+N523+Q523</f>
        <v>30490762</v>
      </c>
      <c r="H523" s="58">
        <f>K523+O523</f>
        <v>0</v>
      </c>
      <c r="I523" s="58">
        <f>L523+P523</f>
        <v>0</v>
      </c>
      <c r="J523" s="58">
        <f>J524+J526</f>
        <v>0</v>
      </c>
      <c r="K523" s="58">
        <f t="shared" ref="K523:P523" si="281">K524+K526</f>
        <v>0</v>
      </c>
      <c r="L523" s="58">
        <f t="shared" si="281"/>
        <v>0</v>
      </c>
      <c r="M523" s="58">
        <f t="shared" si="281"/>
        <v>0</v>
      </c>
      <c r="N523" s="58">
        <f t="shared" si="281"/>
        <v>0</v>
      </c>
      <c r="O523" s="58">
        <f t="shared" si="281"/>
        <v>0</v>
      </c>
      <c r="P523" s="58">
        <f t="shared" si="281"/>
        <v>0</v>
      </c>
      <c r="Q523" s="58">
        <f>Q524+Q526</f>
        <v>30490762</v>
      </c>
    </row>
    <row r="524" spans="1:17" ht="28" customHeight="1" x14ac:dyDescent="0.35">
      <c r="A524" s="214"/>
      <c r="B524" s="215"/>
      <c r="C524" s="60">
        <v>0</v>
      </c>
      <c r="D524" s="60">
        <v>0</v>
      </c>
      <c r="E524" s="60">
        <v>0</v>
      </c>
      <c r="F524" s="61" t="s">
        <v>40</v>
      </c>
      <c r="G524" s="60">
        <f>J524+M524+N524+Q524</f>
        <v>17327582</v>
      </c>
      <c r="H524" s="60">
        <f>K524+O524</f>
        <v>0</v>
      </c>
      <c r="I524" s="60">
        <f>L524+P524</f>
        <v>0</v>
      </c>
      <c r="J524" s="60">
        <f>K524+L524</f>
        <v>0</v>
      </c>
      <c r="K524" s="60">
        <v>0</v>
      </c>
      <c r="L524" s="60">
        <v>0</v>
      </c>
      <c r="M524" s="60">
        <v>0</v>
      </c>
      <c r="N524" s="60">
        <f>O524+P524</f>
        <v>0</v>
      </c>
      <c r="O524" s="77">
        <v>0</v>
      </c>
      <c r="P524" s="77">
        <v>0</v>
      </c>
      <c r="Q524" s="60">
        <f>Q525</f>
        <v>17327582</v>
      </c>
    </row>
    <row r="525" spans="1:17" ht="28" customHeight="1" x14ac:dyDescent="0.35">
      <c r="A525" s="214"/>
      <c r="B525" s="215"/>
      <c r="C525" s="16"/>
      <c r="D525" s="16"/>
      <c r="E525" s="16"/>
      <c r="F525" s="66" t="s">
        <v>41</v>
      </c>
      <c r="G525" s="67">
        <f>G524</f>
        <v>17327582</v>
      </c>
      <c r="H525" s="67">
        <f t="shared" ref="H525:P525" si="282">H524</f>
        <v>0</v>
      </c>
      <c r="I525" s="67">
        <f t="shared" si="282"/>
        <v>0</v>
      </c>
      <c r="J525" s="67">
        <f t="shared" si="282"/>
        <v>0</v>
      </c>
      <c r="K525" s="67">
        <f t="shared" si="282"/>
        <v>0</v>
      </c>
      <c r="L525" s="67">
        <f t="shared" si="282"/>
        <v>0</v>
      </c>
      <c r="M525" s="67">
        <f t="shared" si="282"/>
        <v>0</v>
      </c>
      <c r="N525" s="67">
        <f t="shared" si="282"/>
        <v>0</v>
      </c>
      <c r="O525" s="67">
        <f t="shared" si="282"/>
        <v>0</v>
      </c>
      <c r="P525" s="67">
        <f t="shared" si="282"/>
        <v>0</v>
      </c>
      <c r="Q525" s="67">
        <f>32299820-14972238</f>
        <v>17327582</v>
      </c>
    </row>
    <row r="526" spans="1:17" ht="28" customHeight="1" x14ac:dyDescent="0.35">
      <c r="A526" s="214"/>
      <c r="B526" s="215"/>
      <c r="C526" s="60">
        <v>0</v>
      </c>
      <c r="D526" s="60">
        <v>0</v>
      </c>
      <c r="E526" s="60">
        <v>0</v>
      </c>
      <c r="F526" s="61" t="s">
        <v>36</v>
      </c>
      <c r="G526" s="60">
        <f>J526+M526+N526+Q526</f>
        <v>13163180</v>
      </c>
      <c r="H526" s="60">
        <f>K526+O526</f>
        <v>0</v>
      </c>
      <c r="I526" s="60">
        <f>L526+P526</f>
        <v>0</v>
      </c>
      <c r="J526" s="60">
        <f>K526+L526</f>
        <v>0</v>
      </c>
      <c r="K526" s="60">
        <v>0</v>
      </c>
      <c r="L526" s="60">
        <v>0</v>
      </c>
      <c r="M526" s="60">
        <v>0</v>
      </c>
      <c r="N526" s="60">
        <f>O526+P526</f>
        <v>0</v>
      </c>
      <c r="O526" s="77">
        <v>0</v>
      </c>
      <c r="P526" s="77">
        <v>0</v>
      </c>
      <c r="Q526" s="60">
        <f>Q527</f>
        <v>13163180</v>
      </c>
    </row>
    <row r="527" spans="1:17" ht="28" customHeight="1" x14ac:dyDescent="0.35">
      <c r="A527" s="214"/>
      <c r="B527" s="215"/>
      <c r="C527" s="90"/>
      <c r="D527" s="73"/>
      <c r="E527" s="73"/>
      <c r="F527" s="66" t="s">
        <v>37</v>
      </c>
      <c r="G527" s="67">
        <f>G526</f>
        <v>13163180</v>
      </c>
      <c r="H527" s="67">
        <f t="shared" ref="H527:P527" si="283">H526</f>
        <v>0</v>
      </c>
      <c r="I527" s="67">
        <f t="shared" si="283"/>
        <v>0</v>
      </c>
      <c r="J527" s="67">
        <f t="shared" si="283"/>
        <v>0</v>
      </c>
      <c r="K527" s="67">
        <f t="shared" si="283"/>
        <v>0</v>
      </c>
      <c r="L527" s="67">
        <f t="shared" si="283"/>
        <v>0</v>
      </c>
      <c r="M527" s="67">
        <f t="shared" si="283"/>
        <v>0</v>
      </c>
      <c r="N527" s="67">
        <f t="shared" si="283"/>
        <v>0</v>
      </c>
      <c r="O527" s="67">
        <f t="shared" si="283"/>
        <v>0</v>
      </c>
      <c r="P527" s="67">
        <f t="shared" si="283"/>
        <v>0</v>
      </c>
      <c r="Q527" s="67">
        <f>13163180</f>
        <v>13163180</v>
      </c>
    </row>
    <row r="528" spans="1:17" ht="28" customHeight="1" x14ac:dyDescent="0.35">
      <c r="A528" s="214" t="s">
        <v>446</v>
      </c>
      <c r="B528" s="215" t="s">
        <v>447</v>
      </c>
      <c r="C528" s="56">
        <f>C529</f>
        <v>0</v>
      </c>
      <c r="D528" s="57">
        <f>D529</f>
        <v>0</v>
      </c>
      <c r="E528" s="58">
        <f>E529</f>
        <v>0</v>
      </c>
      <c r="F528" s="59" t="s">
        <v>448</v>
      </c>
      <c r="G528" s="58">
        <f>J528+M528+N528+Q528</f>
        <v>56964953</v>
      </c>
      <c r="H528" s="58">
        <f>K528+O528</f>
        <v>0</v>
      </c>
      <c r="I528" s="58">
        <f>L528+P528</f>
        <v>0</v>
      </c>
      <c r="J528" s="58">
        <f t="shared" ref="J528:P528" si="284">J529</f>
        <v>0</v>
      </c>
      <c r="K528" s="58">
        <f t="shared" si="284"/>
        <v>0</v>
      </c>
      <c r="L528" s="58">
        <f t="shared" si="284"/>
        <v>0</v>
      </c>
      <c r="M528" s="58">
        <f t="shared" si="284"/>
        <v>0</v>
      </c>
      <c r="N528" s="58">
        <f t="shared" si="284"/>
        <v>0</v>
      </c>
      <c r="O528" s="58">
        <f t="shared" si="284"/>
        <v>0</v>
      </c>
      <c r="P528" s="58">
        <f t="shared" si="284"/>
        <v>0</v>
      </c>
      <c r="Q528" s="58">
        <f>Q529</f>
        <v>56964953</v>
      </c>
    </row>
    <row r="529" spans="1:17" ht="28" customHeight="1" x14ac:dyDescent="0.35">
      <c r="A529" s="214"/>
      <c r="B529" s="215"/>
      <c r="C529" s="90"/>
      <c r="D529" s="19">
        <v>0</v>
      </c>
      <c r="E529" s="19">
        <v>0</v>
      </c>
      <c r="F529" s="61" t="s">
        <v>40</v>
      </c>
      <c r="G529" s="60">
        <f>J529+M529+N529+Q529</f>
        <v>56964953</v>
      </c>
      <c r="H529" s="60">
        <f>K529+O529</f>
        <v>0</v>
      </c>
      <c r="I529" s="60">
        <f>L529+P529</f>
        <v>0</v>
      </c>
      <c r="J529" s="60">
        <f>K529+L529</f>
        <v>0</v>
      </c>
      <c r="K529" s="60">
        <v>0</v>
      </c>
      <c r="L529" s="60">
        <v>0</v>
      </c>
      <c r="M529" s="60">
        <v>0</v>
      </c>
      <c r="N529" s="60">
        <f>O529+P529</f>
        <v>0</v>
      </c>
      <c r="O529" s="77">
        <v>0</v>
      </c>
      <c r="P529" s="77">
        <v>0</v>
      </c>
      <c r="Q529" s="60">
        <f>Q530</f>
        <v>56964953</v>
      </c>
    </row>
    <row r="530" spans="1:17" ht="28" customHeight="1" x14ac:dyDescent="0.35">
      <c r="A530" s="214"/>
      <c r="B530" s="215"/>
      <c r="C530" s="90"/>
      <c r="D530" s="73"/>
      <c r="E530" s="73"/>
      <c r="F530" s="66" t="s">
        <v>41</v>
      </c>
      <c r="G530" s="67">
        <f>G529</f>
        <v>56964953</v>
      </c>
      <c r="H530" s="67">
        <f t="shared" ref="H530:P530" si="285">H529</f>
        <v>0</v>
      </c>
      <c r="I530" s="67">
        <f t="shared" si="285"/>
        <v>0</v>
      </c>
      <c r="J530" s="67">
        <f t="shared" si="285"/>
        <v>0</v>
      </c>
      <c r="K530" s="67">
        <f t="shared" si="285"/>
        <v>0</v>
      </c>
      <c r="L530" s="67">
        <f t="shared" si="285"/>
        <v>0</v>
      </c>
      <c r="M530" s="67">
        <f t="shared" si="285"/>
        <v>0</v>
      </c>
      <c r="N530" s="67">
        <f t="shared" si="285"/>
        <v>0</v>
      </c>
      <c r="O530" s="67">
        <f t="shared" si="285"/>
        <v>0</v>
      </c>
      <c r="P530" s="67">
        <f t="shared" si="285"/>
        <v>0</v>
      </c>
      <c r="Q530" s="67">
        <f>36013000+20951953</f>
        <v>56964953</v>
      </c>
    </row>
    <row r="531" spans="1:17" ht="28" customHeight="1" x14ac:dyDescent="0.35">
      <c r="A531" s="222" t="s">
        <v>449</v>
      </c>
      <c r="B531" s="225" t="s">
        <v>746</v>
      </c>
      <c r="C531" s="56">
        <f>C532+C534+C536</f>
        <v>0</v>
      </c>
      <c r="D531" s="57">
        <f>D532+D534+D536</f>
        <v>0</v>
      </c>
      <c r="E531" s="58">
        <f>E532+E534+E536</f>
        <v>25500000</v>
      </c>
      <c r="F531" s="59" t="s">
        <v>450</v>
      </c>
      <c r="G531" s="58">
        <f>J531+M531+N531+Q531</f>
        <v>150455510</v>
      </c>
      <c r="H531" s="58">
        <f>K531+O531</f>
        <v>0</v>
      </c>
      <c r="I531" s="58">
        <f>L531+P531</f>
        <v>0</v>
      </c>
      <c r="J531" s="58">
        <f t="shared" ref="J531:Q531" si="286">J532+J534+J536</f>
        <v>0</v>
      </c>
      <c r="K531" s="58">
        <f t="shared" si="286"/>
        <v>0</v>
      </c>
      <c r="L531" s="58">
        <f t="shared" si="286"/>
        <v>0</v>
      </c>
      <c r="M531" s="58">
        <f t="shared" si="286"/>
        <v>0</v>
      </c>
      <c r="N531" s="58">
        <f t="shared" si="286"/>
        <v>0</v>
      </c>
      <c r="O531" s="58">
        <f t="shared" si="286"/>
        <v>0</v>
      </c>
      <c r="P531" s="58">
        <f t="shared" si="286"/>
        <v>0</v>
      </c>
      <c r="Q531" s="58">
        <f t="shared" si="286"/>
        <v>150455510</v>
      </c>
    </row>
    <row r="532" spans="1:17" ht="28" customHeight="1" x14ac:dyDescent="0.35">
      <c r="A532" s="223"/>
      <c r="B532" s="226"/>
      <c r="C532" s="60">
        <v>0</v>
      </c>
      <c r="D532" s="60">
        <v>0</v>
      </c>
      <c r="E532" s="60">
        <v>0</v>
      </c>
      <c r="F532" s="61" t="s">
        <v>36</v>
      </c>
      <c r="G532" s="60">
        <f>J532+M532+N532+Q532</f>
        <v>97570616</v>
      </c>
      <c r="H532" s="60">
        <f>K532+O532</f>
        <v>0</v>
      </c>
      <c r="I532" s="60">
        <f>L532+P532</f>
        <v>0</v>
      </c>
      <c r="J532" s="60">
        <f>K532+L532</f>
        <v>0</v>
      </c>
      <c r="K532" s="60">
        <v>0</v>
      </c>
      <c r="L532" s="60">
        <v>0</v>
      </c>
      <c r="M532" s="60">
        <v>0</v>
      </c>
      <c r="N532" s="60">
        <f>O532+P532</f>
        <v>0</v>
      </c>
      <c r="O532" s="77">
        <v>0</v>
      </c>
      <c r="P532" s="77">
        <v>0</v>
      </c>
      <c r="Q532" s="60">
        <f>Q533</f>
        <v>97570616</v>
      </c>
    </row>
    <row r="533" spans="1:17" ht="28" customHeight="1" x14ac:dyDescent="0.35">
      <c r="A533" s="223"/>
      <c r="B533" s="226"/>
      <c r="C533" s="90"/>
      <c r="D533" s="73"/>
      <c r="E533" s="73"/>
      <c r="F533" s="66" t="s">
        <v>37</v>
      </c>
      <c r="G533" s="67">
        <f>H533+I533+M533+Q533</f>
        <v>97570616</v>
      </c>
      <c r="H533" s="67">
        <v>0</v>
      </c>
      <c r="I533" s="67">
        <v>0</v>
      </c>
      <c r="J533" s="67">
        <v>0</v>
      </c>
      <c r="K533" s="67">
        <v>0</v>
      </c>
      <c r="L533" s="67">
        <v>0</v>
      </c>
      <c r="M533" s="67">
        <v>0</v>
      </c>
      <c r="N533" s="67">
        <v>0</v>
      </c>
      <c r="O533" s="67">
        <v>0</v>
      </c>
      <c r="P533" s="67">
        <v>0</v>
      </c>
      <c r="Q533" s="67">
        <f>94979531+ 2591085</f>
        <v>97570616</v>
      </c>
    </row>
    <row r="534" spans="1:17" ht="28" customHeight="1" x14ac:dyDescent="0.35">
      <c r="A534" s="223"/>
      <c r="B534" s="226"/>
      <c r="C534" s="60">
        <v>0</v>
      </c>
      <c r="D534" s="60">
        <v>0</v>
      </c>
      <c r="E534" s="60">
        <v>0</v>
      </c>
      <c r="F534" s="61" t="s">
        <v>150</v>
      </c>
      <c r="G534" s="60">
        <f>J534+M534+N534+Q534</f>
        <v>10556693</v>
      </c>
      <c r="H534" s="60">
        <f>K534+O534</f>
        <v>0</v>
      </c>
      <c r="I534" s="60">
        <f>L534+P534</f>
        <v>0</v>
      </c>
      <c r="J534" s="60">
        <f>K534+L534</f>
        <v>0</v>
      </c>
      <c r="K534" s="60">
        <v>0</v>
      </c>
      <c r="L534" s="60">
        <v>0</v>
      </c>
      <c r="M534" s="60">
        <v>0</v>
      </c>
      <c r="N534" s="60">
        <f>O534+P534</f>
        <v>0</v>
      </c>
      <c r="O534" s="77">
        <v>0</v>
      </c>
      <c r="P534" s="77">
        <v>0</v>
      </c>
      <c r="Q534" s="60">
        <f>Q535</f>
        <v>10556693</v>
      </c>
    </row>
    <row r="535" spans="1:17" ht="28" customHeight="1" x14ac:dyDescent="0.35">
      <c r="A535" s="223"/>
      <c r="B535" s="226"/>
      <c r="C535" s="90"/>
      <c r="D535" s="73"/>
      <c r="E535" s="73"/>
      <c r="F535" s="66" t="s">
        <v>151</v>
      </c>
      <c r="G535" s="67">
        <f>G534</f>
        <v>10556693</v>
      </c>
      <c r="H535" s="67">
        <f t="shared" ref="H535:P537" si="287">H534</f>
        <v>0</v>
      </c>
      <c r="I535" s="67">
        <f t="shared" si="287"/>
        <v>0</v>
      </c>
      <c r="J535" s="67">
        <f t="shared" si="287"/>
        <v>0</v>
      </c>
      <c r="K535" s="67">
        <f t="shared" si="287"/>
        <v>0</v>
      </c>
      <c r="L535" s="67">
        <f t="shared" si="287"/>
        <v>0</v>
      </c>
      <c r="M535" s="67">
        <f t="shared" si="287"/>
        <v>0</v>
      </c>
      <c r="N535" s="67">
        <f t="shared" si="287"/>
        <v>0</v>
      </c>
      <c r="O535" s="67">
        <f t="shared" si="287"/>
        <v>0</v>
      </c>
      <c r="P535" s="67">
        <f t="shared" si="287"/>
        <v>0</v>
      </c>
      <c r="Q535" s="67">
        <v>10556693</v>
      </c>
    </row>
    <row r="536" spans="1:17" ht="28" customHeight="1" x14ac:dyDescent="0.35">
      <c r="A536" s="223"/>
      <c r="B536" s="226"/>
      <c r="C536" s="60">
        <v>0</v>
      </c>
      <c r="D536" s="60">
        <v>0</v>
      </c>
      <c r="E536" s="72">
        <f>G538</f>
        <v>25500000</v>
      </c>
      <c r="F536" s="61" t="s">
        <v>107</v>
      </c>
      <c r="G536" s="60">
        <f>G537+G538</f>
        <v>42328201</v>
      </c>
      <c r="H536" s="60">
        <f>K536+O536</f>
        <v>0</v>
      </c>
      <c r="I536" s="60">
        <f>L536+P536</f>
        <v>0</v>
      </c>
      <c r="J536" s="60">
        <f>K536+L536</f>
        <v>0</v>
      </c>
      <c r="K536" s="60">
        <v>0</v>
      </c>
      <c r="L536" s="60">
        <v>0</v>
      </c>
      <c r="M536" s="60">
        <v>0</v>
      </c>
      <c r="N536" s="60">
        <f>O536+P536</f>
        <v>0</v>
      </c>
      <c r="O536" s="77">
        <v>0</v>
      </c>
      <c r="P536" s="77">
        <v>0</v>
      </c>
      <c r="Q536" s="60">
        <f>Q537+Q538</f>
        <v>42328201</v>
      </c>
    </row>
    <row r="537" spans="1:17" ht="28" customHeight="1" x14ac:dyDescent="0.35">
      <c r="A537" s="223"/>
      <c r="B537" s="226"/>
      <c r="C537" s="90"/>
      <c r="D537" s="73"/>
      <c r="E537" s="73"/>
      <c r="F537" s="66" t="s">
        <v>108</v>
      </c>
      <c r="G537" s="67">
        <f>H537+I537+M537+Q537</f>
        <v>16828201</v>
      </c>
      <c r="H537" s="67">
        <f t="shared" si="287"/>
        <v>0</v>
      </c>
      <c r="I537" s="67">
        <f t="shared" si="287"/>
        <v>0</v>
      </c>
      <c r="J537" s="67">
        <f t="shared" si="287"/>
        <v>0</v>
      </c>
      <c r="K537" s="67">
        <f t="shared" si="287"/>
        <v>0</v>
      </c>
      <c r="L537" s="67">
        <f t="shared" si="287"/>
        <v>0</v>
      </c>
      <c r="M537" s="67">
        <f t="shared" si="287"/>
        <v>0</v>
      </c>
      <c r="N537" s="67">
        <f t="shared" si="287"/>
        <v>0</v>
      </c>
      <c r="O537" s="67">
        <f t="shared" si="287"/>
        <v>0</v>
      </c>
      <c r="P537" s="67">
        <f t="shared" si="287"/>
        <v>0</v>
      </c>
      <c r="Q537" s="67">
        <f>16828201</f>
        <v>16828201</v>
      </c>
    </row>
    <row r="538" spans="1:17" ht="28" customHeight="1" x14ac:dyDescent="0.35">
      <c r="A538" s="224"/>
      <c r="B538" s="227"/>
      <c r="C538" s="90"/>
      <c r="D538" s="73"/>
      <c r="E538" s="73"/>
      <c r="F538" s="66" t="s">
        <v>109</v>
      </c>
      <c r="G538" s="74">
        <f>H538+I538+M538+Q538</f>
        <v>25500000</v>
      </c>
      <c r="H538" s="74">
        <v>0</v>
      </c>
      <c r="I538" s="74">
        <v>0</v>
      </c>
      <c r="J538" s="74">
        <v>0</v>
      </c>
      <c r="K538" s="74">
        <v>0</v>
      </c>
      <c r="L538" s="74">
        <v>0</v>
      </c>
      <c r="M538" s="74">
        <v>0</v>
      </c>
      <c r="N538" s="74">
        <v>0</v>
      </c>
      <c r="O538" s="74">
        <v>0</v>
      </c>
      <c r="P538" s="74">
        <v>0</v>
      </c>
      <c r="Q538" s="74">
        <f>25500000</f>
        <v>25500000</v>
      </c>
    </row>
    <row r="539" spans="1:17" ht="28" customHeight="1" x14ac:dyDescent="0.35">
      <c r="A539" s="214" t="s">
        <v>451</v>
      </c>
      <c r="B539" s="215" t="s">
        <v>452</v>
      </c>
      <c r="C539" s="56">
        <f>C540</f>
        <v>0</v>
      </c>
      <c r="D539" s="57">
        <f>D540+D542</f>
        <v>0</v>
      </c>
      <c r="E539" s="57">
        <f>E540+E542</f>
        <v>0</v>
      </c>
      <c r="F539" s="59" t="s">
        <v>453</v>
      </c>
      <c r="G539" s="58">
        <f>J539+M539+N539+Q539</f>
        <v>22333285</v>
      </c>
      <c r="H539" s="58">
        <f>K539+O539</f>
        <v>0</v>
      </c>
      <c r="I539" s="58">
        <f>L539+P539</f>
        <v>0</v>
      </c>
      <c r="J539" s="58">
        <f t="shared" ref="J539:P539" si="288">J540+J542</f>
        <v>0</v>
      </c>
      <c r="K539" s="58">
        <f t="shared" si="288"/>
        <v>0</v>
      </c>
      <c r="L539" s="58">
        <f t="shared" si="288"/>
        <v>0</v>
      </c>
      <c r="M539" s="58">
        <f t="shared" si="288"/>
        <v>0</v>
      </c>
      <c r="N539" s="58">
        <f t="shared" si="288"/>
        <v>0</v>
      </c>
      <c r="O539" s="58">
        <f t="shared" si="288"/>
        <v>0</v>
      </c>
      <c r="P539" s="58">
        <f t="shared" si="288"/>
        <v>0</v>
      </c>
      <c r="Q539" s="58">
        <f>Q540+Q542</f>
        <v>22333285</v>
      </c>
    </row>
    <row r="540" spans="1:17" ht="28" customHeight="1" x14ac:dyDescent="0.35">
      <c r="A540" s="214"/>
      <c r="B540" s="215"/>
      <c r="C540" s="60">
        <v>0</v>
      </c>
      <c r="D540" s="60">
        <v>0</v>
      </c>
      <c r="E540" s="60">
        <v>0</v>
      </c>
      <c r="F540" s="61" t="s">
        <v>40</v>
      </c>
      <c r="G540" s="60">
        <f>J540+M540+N540+Q540</f>
        <v>17333285</v>
      </c>
      <c r="H540" s="60">
        <f>K540+O540</f>
        <v>0</v>
      </c>
      <c r="I540" s="60">
        <f>L540+P540</f>
        <v>0</v>
      </c>
      <c r="J540" s="60">
        <f>K540+L540</f>
        <v>0</v>
      </c>
      <c r="K540" s="60">
        <v>0</v>
      </c>
      <c r="L540" s="60">
        <v>0</v>
      </c>
      <c r="M540" s="60">
        <v>0</v>
      </c>
      <c r="N540" s="60">
        <f>O540+P540</f>
        <v>0</v>
      </c>
      <c r="O540" s="77">
        <v>0</v>
      </c>
      <c r="P540" s="77">
        <v>0</v>
      </c>
      <c r="Q540" s="60">
        <f>Q541</f>
        <v>17333285</v>
      </c>
    </row>
    <row r="541" spans="1:17" ht="28" customHeight="1" x14ac:dyDescent="0.35">
      <c r="A541" s="214"/>
      <c r="B541" s="215"/>
      <c r="C541" s="90"/>
      <c r="D541" s="73"/>
      <c r="E541" s="73"/>
      <c r="F541" s="66" t="s">
        <v>41</v>
      </c>
      <c r="G541" s="67">
        <f>G540</f>
        <v>17333285</v>
      </c>
      <c r="H541" s="67">
        <f t="shared" ref="H541:P541" si="289">H540</f>
        <v>0</v>
      </c>
      <c r="I541" s="67">
        <f t="shared" si="289"/>
        <v>0</v>
      </c>
      <c r="J541" s="67">
        <f t="shared" si="289"/>
        <v>0</v>
      </c>
      <c r="K541" s="67">
        <f t="shared" si="289"/>
        <v>0</v>
      </c>
      <c r="L541" s="67">
        <f t="shared" si="289"/>
        <v>0</v>
      </c>
      <c r="M541" s="67">
        <f t="shared" si="289"/>
        <v>0</v>
      </c>
      <c r="N541" s="67">
        <f t="shared" si="289"/>
        <v>0</v>
      </c>
      <c r="O541" s="67">
        <f t="shared" si="289"/>
        <v>0</v>
      </c>
      <c r="P541" s="67">
        <f t="shared" si="289"/>
        <v>0</v>
      </c>
      <c r="Q541" s="67">
        <f>23313000-5979715</f>
        <v>17333285</v>
      </c>
    </row>
    <row r="542" spans="1:17" ht="28" customHeight="1" x14ac:dyDescent="0.35">
      <c r="A542" s="214"/>
      <c r="B542" s="215"/>
      <c r="C542" s="60">
        <v>0</v>
      </c>
      <c r="D542" s="60">
        <v>0</v>
      </c>
      <c r="E542" s="60">
        <v>0</v>
      </c>
      <c r="F542" s="61" t="s">
        <v>36</v>
      </c>
      <c r="G542" s="60">
        <f>J542+M542+N542+Q542</f>
        <v>5000000</v>
      </c>
      <c r="H542" s="60">
        <f>K542+O542</f>
        <v>0</v>
      </c>
      <c r="I542" s="60">
        <f>L542+P542</f>
        <v>0</v>
      </c>
      <c r="J542" s="60">
        <f>K542+L542</f>
        <v>0</v>
      </c>
      <c r="K542" s="60">
        <v>0</v>
      </c>
      <c r="L542" s="60">
        <v>0</v>
      </c>
      <c r="M542" s="60">
        <v>0</v>
      </c>
      <c r="N542" s="60">
        <f>O542+P542</f>
        <v>0</v>
      </c>
      <c r="O542" s="77">
        <v>0</v>
      </c>
      <c r="P542" s="77">
        <v>0</v>
      </c>
      <c r="Q542" s="60">
        <f>Q543</f>
        <v>5000000</v>
      </c>
    </row>
    <row r="543" spans="1:17" ht="28" customHeight="1" x14ac:dyDescent="0.35">
      <c r="A543" s="214"/>
      <c r="B543" s="215"/>
      <c r="C543" s="90"/>
      <c r="D543" s="73"/>
      <c r="E543" s="73"/>
      <c r="F543" s="66" t="s">
        <v>37</v>
      </c>
      <c r="G543" s="67">
        <f>G542</f>
        <v>5000000</v>
      </c>
      <c r="H543" s="67">
        <f t="shared" ref="H543:P543" si="290">H542</f>
        <v>0</v>
      </c>
      <c r="I543" s="67">
        <f t="shared" si="290"/>
        <v>0</v>
      </c>
      <c r="J543" s="67">
        <f t="shared" si="290"/>
        <v>0</v>
      </c>
      <c r="K543" s="67">
        <f t="shared" si="290"/>
        <v>0</v>
      </c>
      <c r="L543" s="67">
        <f t="shared" si="290"/>
        <v>0</v>
      </c>
      <c r="M543" s="67">
        <f t="shared" si="290"/>
        <v>0</v>
      </c>
      <c r="N543" s="67">
        <f t="shared" si="290"/>
        <v>0</v>
      </c>
      <c r="O543" s="67">
        <f t="shared" si="290"/>
        <v>0</v>
      </c>
      <c r="P543" s="67">
        <f t="shared" si="290"/>
        <v>0</v>
      </c>
      <c r="Q543" s="67">
        <v>5000000</v>
      </c>
    </row>
    <row r="544" spans="1:17" ht="28" customHeight="1" x14ac:dyDescent="0.35">
      <c r="A544" s="214" t="s">
        <v>454</v>
      </c>
      <c r="B544" s="215" t="s">
        <v>455</v>
      </c>
      <c r="C544" s="56">
        <f>C545</f>
        <v>0</v>
      </c>
      <c r="D544" s="57">
        <f>D545</f>
        <v>0</v>
      </c>
      <c r="E544" s="58">
        <f>E545</f>
        <v>0</v>
      </c>
      <c r="F544" s="59" t="s">
        <v>456</v>
      </c>
      <c r="G544" s="58">
        <f>J544+M544+N544+Q544</f>
        <v>36267915</v>
      </c>
      <c r="H544" s="58">
        <f>K544+O544</f>
        <v>0</v>
      </c>
      <c r="I544" s="58">
        <f>L544+P544</f>
        <v>0</v>
      </c>
      <c r="J544" s="58">
        <f t="shared" ref="J544:P544" si="291">J545</f>
        <v>0</v>
      </c>
      <c r="K544" s="58">
        <f t="shared" si="291"/>
        <v>0</v>
      </c>
      <c r="L544" s="58">
        <f t="shared" si="291"/>
        <v>0</v>
      </c>
      <c r="M544" s="58">
        <f t="shared" si="291"/>
        <v>0</v>
      </c>
      <c r="N544" s="58">
        <f t="shared" si="291"/>
        <v>0</v>
      </c>
      <c r="O544" s="58">
        <f t="shared" si="291"/>
        <v>0</v>
      </c>
      <c r="P544" s="58">
        <f t="shared" si="291"/>
        <v>0</v>
      </c>
      <c r="Q544" s="58">
        <f>Q545</f>
        <v>36267915</v>
      </c>
    </row>
    <row r="545" spans="1:17" ht="28" customHeight="1" x14ac:dyDescent="0.35">
      <c r="A545" s="214"/>
      <c r="B545" s="215"/>
      <c r="C545" s="60">
        <v>0</v>
      </c>
      <c r="D545" s="60">
        <v>0</v>
      </c>
      <c r="E545" s="60">
        <v>0</v>
      </c>
      <c r="F545" s="61" t="s">
        <v>36</v>
      </c>
      <c r="G545" s="60">
        <f>J545+M545+N545+Q545</f>
        <v>36267915</v>
      </c>
      <c r="H545" s="60">
        <f>K545+O545</f>
        <v>0</v>
      </c>
      <c r="I545" s="60">
        <f>L545+P545</f>
        <v>0</v>
      </c>
      <c r="J545" s="60">
        <f>K545+L545</f>
        <v>0</v>
      </c>
      <c r="K545" s="60">
        <v>0</v>
      </c>
      <c r="L545" s="60">
        <v>0</v>
      </c>
      <c r="M545" s="60">
        <v>0</v>
      </c>
      <c r="N545" s="60">
        <f>O545+P545</f>
        <v>0</v>
      </c>
      <c r="O545" s="77">
        <v>0</v>
      </c>
      <c r="P545" s="77">
        <v>0</v>
      </c>
      <c r="Q545" s="60">
        <f>Q546</f>
        <v>36267915</v>
      </c>
    </row>
    <row r="546" spans="1:17" ht="28" customHeight="1" x14ac:dyDescent="0.35">
      <c r="A546" s="214"/>
      <c r="B546" s="215"/>
      <c r="C546" s="90"/>
      <c r="D546" s="73"/>
      <c r="E546" s="73"/>
      <c r="F546" s="66" t="s">
        <v>37</v>
      </c>
      <c r="G546" s="67">
        <f>G545</f>
        <v>36267915</v>
      </c>
      <c r="H546" s="67">
        <f t="shared" ref="H546:P546" si="292">H545</f>
        <v>0</v>
      </c>
      <c r="I546" s="67">
        <f t="shared" si="292"/>
        <v>0</v>
      </c>
      <c r="J546" s="67">
        <f t="shared" si="292"/>
        <v>0</v>
      </c>
      <c r="K546" s="67">
        <f t="shared" si="292"/>
        <v>0</v>
      </c>
      <c r="L546" s="67">
        <f t="shared" si="292"/>
        <v>0</v>
      </c>
      <c r="M546" s="67">
        <f t="shared" si="292"/>
        <v>0</v>
      </c>
      <c r="N546" s="67">
        <f t="shared" si="292"/>
        <v>0</v>
      </c>
      <c r="O546" s="67">
        <f t="shared" si="292"/>
        <v>0</v>
      </c>
      <c r="P546" s="67">
        <f t="shared" si="292"/>
        <v>0</v>
      </c>
      <c r="Q546" s="67">
        <f>38859000- 2591085</f>
        <v>36267915</v>
      </c>
    </row>
    <row r="547" spans="1:17" ht="28" customHeight="1" x14ac:dyDescent="0.35">
      <c r="A547" s="214" t="s">
        <v>457</v>
      </c>
      <c r="B547" s="215" t="s">
        <v>458</v>
      </c>
      <c r="C547" s="56">
        <f>C548+C550</f>
        <v>0</v>
      </c>
      <c r="D547" s="57">
        <f>D548+D550</f>
        <v>0</v>
      </c>
      <c r="E547" s="58">
        <f>E548+E550</f>
        <v>0</v>
      </c>
      <c r="F547" s="59" t="s">
        <v>459</v>
      </c>
      <c r="G547" s="58">
        <f>J547+M547+N547+Q547</f>
        <v>93002817</v>
      </c>
      <c r="H547" s="58">
        <f>K547+O547</f>
        <v>0</v>
      </c>
      <c r="I547" s="58">
        <f>L547+P547</f>
        <v>0</v>
      </c>
      <c r="J547" s="58">
        <f t="shared" ref="J547:P547" si="293">J548+J550</f>
        <v>0</v>
      </c>
      <c r="K547" s="58">
        <f t="shared" si="293"/>
        <v>0</v>
      </c>
      <c r="L547" s="58">
        <f t="shared" si="293"/>
        <v>0</v>
      </c>
      <c r="M547" s="58">
        <f t="shared" si="293"/>
        <v>0</v>
      </c>
      <c r="N547" s="58">
        <f t="shared" si="293"/>
        <v>0</v>
      </c>
      <c r="O547" s="58">
        <f t="shared" si="293"/>
        <v>0</v>
      </c>
      <c r="P547" s="58">
        <f t="shared" si="293"/>
        <v>0</v>
      </c>
      <c r="Q547" s="58">
        <f>Q548+Q550</f>
        <v>93002817</v>
      </c>
    </row>
    <row r="548" spans="1:17" ht="28" customHeight="1" x14ac:dyDescent="0.35">
      <c r="A548" s="214"/>
      <c r="B548" s="215"/>
      <c r="C548" s="60">
        <v>0</v>
      </c>
      <c r="D548" s="60">
        <v>0</v>
      </c>
      <c r="E548" s="60">
        <v>0</v>
      </c>
      <c r="F548" s="61" t="s">
        <v>36</v>
      </c>
      <c r="G548" s="60">
        <f>J548+M548+N548+Q548</f>
        <v>68464507</v>
      </c>
      <c r="H548" s="60">
        <f>K548+O548</f>
        <v>0</v>
      </c>
      <c r="I548" s="60">
        <f>L548+P548</f>
        <v>0</v>
      </c>
      <c r="J548" s="60">
        <f>K548+L548</f>
        <v>0</v>
      </c>
      <c r="K548" s="60">
        <v>0</v>
      </c>
      <c r="L548" s="60">
        <v>0</v>
      </c>
      <c r="M548" s="60">
        <v>0</v>
      </c>
      <c r="N548" s="60">
        <f>O548+P548</f>
        <v>0</v>
      </c>
      <c r="O548" s="77">
        <v>0</v>
      </c>
      <c r="P548" s="77">
        <v>0</v>
      </c>
      <c r="Q548" s="60">
        <f>Q549</f>
        <v>68464507</v>
      </c>
    </row>
    <row r="549" spans="1:17" ht="28" customHeight="1" x14ac:dyDescent="0.35">
      <c r="A549" s="214"/>
      <c r="B549" s="215"/>
      <c r="C549" s="90"/>
      <c r="D549" s="73"/>
      <c r="E549" s="73"/>
      <c r="F549" s="66" t="s">
        <v>37</v>
      </c>
      <c r="G549" s="67">
        <f>G548</f>
        <v>68464507</v>
      </c>
      <c r="H549" s="67">
        <f t="shared" ref="H549:P549" si="294">H548</f>
        <v>0</v>
      </c>
      <c r="I549" s="67">
        <f t="shared" si="294"/>
        <v>0</v>
      </c>
      <c r="J549" s="67">
        <f t="shared" si="294"/>
        <v>0</v>
      </c>
      <c r="K549" s="67">
        <f t="shared" si="294"/>
        <v>0</v>
      </c>
      <c r="L549" s="67">
        <f t="shared" si="294"/>
        <v>0</v>
      </c>
      <c r="M549" s="67">
        <f t="shared" si="294"/>
        <v>0</v>
      </c>
      <c r="N549" s="67">
        <f t="shared" si="294"/>
        <v>0</v>
      </c>
      <c r="O549" s="67">
        <f t="shared" si="294"/>
        <v>0</v>
      </c>
      <c r="P549" s="67">
        <f t="shared" si="294"/>
        <v>0</v>
      </c>
      <c r="Q549" s="67">
        <f>68464507</f>
        <v>68464507</v>
      </c>
    </row>
    <row r="550" spans="1:17" ht="28" customHeight="1" x14ac:dyDescent="0.35">
      <c r="A550" s="214"/>
      <c r="B550" s="215"/>
      <c r="C550" s="60">
        <v>0</v>
      </c>
      <c r="D550" s="60">
        <v>0</v>
      </c>
      <c r="E550" s="60">
        <v>0</v>
      </c>
      <c r="F550" s="61" t="s">
        <v>321</v>
      </c>
      <c r="G550" s="60">
        <f>J550+M550+N550+Q550</f>
        <v>24538310</v>
      </c>
      <c r="H550" s="60">
        <f>K550+O550</f>
        <v>0</v>
      </c>
      <c r="I550" s="60">
        <f>L550+P550</f>
        <v>0</v>
      </c>
      <c r="J550" s="60">
        <f>K550+L550</f>
        <v>0</v>
      </c>
      <c r="K550" s="60">
        <v>0</v>
      </c>
      <c r="L550" s="60">
        <v>0</v>
      </c>
      <c r="M550" s="60">
        <v>0</v>
      </c>
      <c r="N550" s="60">
        <f>O550+P550</f>
        <v>0</v>
      </c>
      <c r="O550" s="77">
        <v>0</v>
      </c>
      <c r="P550" s="77">
        <v>0</v>
      </c>
      <c r="Q550" s="60">
        <f>Q551</f>
        <v>24538310</v>
      </c>
    </row>
    <row r="551" spans="1:17" ht="28" customHeight="1" x14ac:dyDescent="0.35">
      <c r="A551" s="214"/>
      <c r="B551" s="215"/>
      <c r="C551" s="90"/>
      <c r="D551" s="73"/>
      <c r="E551" s="73"/>
      <c r="F551" s="66" t="s">
        <v>322</v>
      </c>
      <c r="G551" s="67">
        <f>G550</f>
        <v>24538310</v>
      </c>
      <c r="H551" s="67">
        <f t="shared" ref="H551:P551" si="295">H550</f>
        <v>0</v>
      </c>
      <c r="I551" s="67">
        <f t="shared" si="295"/>
        <v>0</v>
      </c>
      <c r="J551" s="67">
        <f t="shared" si="295"/>
        <v>0</v>
      </c>
      <c r="K551" s="67">
        <f t="shared" si="295"/>
        <v>0</v>
      </c>
      <c r="L551" s="67">
        <f t="shared" si="295"/>
        <v>0</v>
      </c>
      <c r="M551" s="67">
        <f t="shared" si="295"/>
        <v>0</v>
      </c>
      <c r="N551" s="67">
        <f t="shared" si="295"/>
        <v>0</v>
      </c>
      <c r="O551" s="67">
        <f t="shared" si="295"/>
        <v>0</v>
      </c>
      <c r="P551" s="67">
        <f t="shared" si="295"/>
        <v>0</v>
      </c>
      <c r="Q551" s="67">
        <v>24538310</v>
      </c>
    </row>
    <row r="552" spans="1:17" ht="28" customHeight="1" x14ac:dyDescent="0.35">
      <c r="A552" s="214" t="s">
        <v>460</v>
      </c>
      <c r="B552" s="215" t="s">
        <v>461</v>
      </c>
      <c r="C552" s="56">
        <f>C553</f>
        <v>0</v>
      </c>
      <c r="D552" s="57">
        <f>D553</f>
        <v>0</v>
      </c>
      <c r="E552" s="58">
        <f>E553</f>
        <v>0</v>
      </c>
      <c r="F552" s="59" t="s">
        <v>462</v>
      </c>
      <c r="G552" s="58">
        <f>J552+M552+N552+Q552</f>
        <v>2500000</v>
      </c>
      <c r="H552" s="58">
        <f>K552+O552</f>
        <v>0</v>
      </c>
      <c r="I552" s="58">
        <f>L552+P552</f>
        <v>0</v>
      </c>
      <c r="J552" s="58">
        <f t="shared" ref="J552:P552" si="296">J553</f>
        <v>0</v>
      </c>
      <c r="K552" s="58">
        <f t="shared" si="296"/>
        <v>0</v>
      </c>
      <c r="L552" s="58">
        <f t="shared" si="296"/>
        <v>0</v>
      </c>
      <c r="M552" s="58">
        <f t="shared" si="296"/>
        <v>0</v>
      </c>
      <c r="N552" s="58">
        <f t="shared" si="296"/>
        <v>0</v>
      </c>
      <c r="O552" s="58">
        <f t="shared" si="296"/>
        <v>0</v>
      </c>
      <c r="P552" s="58">
        <f t="shared" si="296"/>
        <v>0</v>
      </c>
      <c r="Q552" s="58">
        <f>Q553</f>
        <v>2500000</v>
      </c>
    </row>
    <row r="553" spans="1:17" ht="28" customHeight="1" x14ac:dyDescent="0.35">
      <c r="A553" s="214"/>
      <c r="B553" s="215"/>
      <c r="C553" s="60">
        <v>0</v>
      </c>
      <c r="D553" s="60">
        <v>0</v>
      </c>
      <c r="E553" s="60">
        <v>0</v>
      </c>
      <c r="F553" s="61" t="s">
        <v>36</v>
      </c>
      <c r="G553" s="60">
        <f>J553+M553+N553+Q553</f>
        <v>2500000</v>
      </c>
      <c r="H553" s="60">
        <f>K553+O553</f>
        <v>0</v>
      </c>
      <c r="I553" s="60">
        <f>L553+P553</f>
        <v>0</v>
      </c>
      <c r="J553" s="60">
        <f>K553+L553</f>
        <v>0</v>
      </c>
      <c r="K553" s="60">
        <v>0</v>
      </c>
      <c r="L553" s="60">
        <v>0</v>
      </c>
      <c r="M553" s="60">
        <v>0</v>
      </c>
      <c r="N553" s="60">
        <f>O553+P553</f>
        <v>0</v>
      </c>
      <c r="O553" s="77">
        <v>0</v>
      </c>
      <c r="P553" s="77">
        <v>0</v>
      </c>
      <c r="Q553" s="60">
        <f>Q554</f>
        <v>2500000</v>
      </c>
    </row>
    <row r="554" spans="1:17" ht="28" customHeight="1" x14ac:dyDescent="0.35">
      <c r="A554" s="214"/>
      <c r="B554" s="215"/>
      <c r="C554" s="90"/>
      <c r="D554" s="73"/>
      <c r="E554" s="73"/>
      <c r="F554" s="66" t="s">
        <v>37</v>
      </c>
      <c r="G554" s="67">
        <f>G553</f>
        <v>2500000</v>
      </c>
      <c r="H554" s="67">
        <f>H553</f>
        <v>0</v>
      </c>
      <c r="I554" s="67">
        <f>I553</f>
        <v>0</v>
      </c>
      <c r="J554" s="67">
        <f t="shared" ref="J554:P554" si="297">J553</f>
        <v>0</v>
      </c>
      <c r="K554" s="67">
        <f t="shared" si="297"/>
        <v>0</v>
      </c>
      <c r="L554" s="67">
        <f t="shared" si="297"/>
        <v>0</v>
      </c>
      <c r="M554" s="67">
        <f t="shared" si="297"/>
        <v>0</v>
      </c>
      <c r="N554" s="67">
        <f t="shared" si="297"/>
        <v>0</v>
      </c>
      <c r="O554" s="67">
        <f t="shared" si="297"/>
        <v>0</v>
      </c>
      <c r="P554" s="67">
        <f t="shared" si="297"/>
        <v>0</v>
      </c>
      <c r="Q554" s="67">
        <v>2500000</v>
      </c>
    </row>
    <row r="555" spans="1:17" ht="28" customHeight="1" x14ac:dyDescent="0.35">
      <c r="A555" s="39" t="s">
        <v>463</v>
      </c>
      <c r="B555" s="40" t="s">
        <v>16</v>
      </c>
      <c r="C555" s="41">
        <f>C556+C559+C562+C565</f>
        <v>0</v>
      </c>
      <c r="D555" s="41">
        <f>D556+D559+D562+D565</f>
        <v>0</v>
      </c>
      <c r="E555" s="42">
        <f>E556+E559+E562+E565</f>
        <v>0</v>
      </c>
      <c r="F555" s="43"/>
      <c r="G555" s="42">
        <f>G556+G559+G562+G565</f>
        <v>410233301</v>
      </c>
      <c r="H555" s="42">
        <f>H556+H559+H562+H565</f>
        <v>340240298</v>
      </c>
      <c r="I555" s="42">
        <f>I556+I559+I562+I565</f>
        <v>0</v>
      </c>
      <c r="J555" s="42">
        <f>J556+J559+J562+J565</f>
        <v>255696315</v>
      </c>
      <c r="K555" s="42">
        <f>K558+K559+K562+K565</f>
        <v>255696315</v>
      </c>
      <c r="L555" s="42">
        <f>L556+L559+L562+L565</f>
        <v>0</v>
      </c>
      <c r="M555" s="42">
        <f>M556+M561+M562+M565</f>
        <v>51632244</v>
      </c>
      <c r="N555" s="42">
        <f>N556+N559+N562+N565</f>
        <v>84543983</v>
      </c>
      <c r="O555" s="42">
        <f>O556+O559+O564+O565</f>
        <v>84543983</v>
      </c>
      <c r="P555" s="42">
        <f>P556</f>
        <v>0</v>
      </c>
      <c r="Q555" s="42">
        <f>Q556+Q559+Q562+Q567</f>
        <v>18360759</v>
      </c>
    </row>
    <row r="556" spans="1:17" ht="28" customHeight="1" x14ac:dyDescent="0.35">
      <c r="A556" s="45" t="s">
        <v>464</v>
      </c>
      <c r="B556" s="46" t="s">
        <v>465</v>
      </c>
      <c r="C556" s="47">
        <v>0</v>
      </c>
      <c r="D556" s="47">
        <v>0</v>
      </c>
      <c r="E556" s="48">
        <v>0</v>
      </c>
      <c r="F556" s="82" t="s">
        <v>466</v>
      </c>
      <c r="G556" s="48">
        <f>J556+M556+N556+Q556</f>
        <v>255696315</v>
      </c>
      <c r="H556" s="48">
        <f>K556+O556</f>
        <v>255696315</v>
      </c>
      <c r="I556" s="48">
        <f>L556+P556</f>
        <v>0</v>
      </c>
      <c r="J556" s="48">
        <f t="shared" ref="J556:J567" si="298">K556+L556</f>
        <v>255696315</v>
      </c>
      <c r="K556" s="48">
        <f t="shared" ref="K556:M557" si="299">K557</f>
        <v>255696315</v>
      </c>
      <c r="L556" s="48">
        <f t="shared" si="299"/>
        <v>0</v>
      </c>
      <c r="M556" s="48">
        <f t="shared" si="299"/>
        <v>0</v>
      </c>
      <c r="N556" s="48">
        <f t="shared" ref="N556:N567" si="300">O556+P556</f>
        <v>0</v>
      </c>
      <c r="O556" s="48">
        <f>O557</f>
        <v>0</v>
      </c>
      <c r="P556" s="48">
        <f>P557</f>
        <v>0</v>
      </c>
      <c r="Q556" s="48">
        <f>Q557</f>
        <v>0</v>
      </c>
    </row>
    <row r="557" spans="1:17" ht="28" customHeight="1" x14ac:dyDescent="0.35">
      <c r="A557" s="87" t="s">
        <v>467</v>
      </c>
      <c r="B557" s="88" t="s">
        <v>465</v>
      </c>
      <c r="C557" s="52"/>
      <c r="D557" s="52"/>
      <c r="E557" s="53"/>
      <c r="F557" s="54"/>
      <c r="G557" s="52">
        <f t="shared" ref="G557:G567" si="301">J557+M557+N557+Q557</f>
        <v>255696315</v>
      </c>
      <c r="H557" s="52">
        <f t="shared" ref="H557:I567" si="302">K557+O557</f>
        <v>255696315</v>
      </c>
      <c r="I557" s="52">
        <f t="shared" si="302"/>
        <v>0</v>
      </c>
      <c r="J557" s="52">
        <f t="shared" si="298"/>
        <v>255696315</v>
      </c>
      <c r="K557" s="52">
        <f t="shared" si="299"/>
        <v>255696315</v>
      </c>
      <c r="L557" s="52">
        <f t="shared" si="299"/>
        <v>0</v>
      </c>
      <c r="M557" s="52">
        <f t="shared" si="299"/>
        <v>0</v>
      </c>
      <c r="N557" s="52">
        <f t="shared" si="300"/>
        <v>0</v>
      </c>
      <c r="O557" s="52">
        <f>O558</f>
        <v>0</v>
      </c>
      <c r="P557" s="52">
        <f>P558</f>
        <v>0</v>
      </c>
      <c r="Q557" s="52">
        <f>Q558</f>
        <v>0</v>
      </c>
    </row>
    <row r="558" spans="1:17" ht="28" customHeight="1" x14ac:dyDescent="0.35">
      <c r="A558" s="122" t="s">
        <v>468</v>
      </c>
      <c r="B558" s="123" t="s">
        <v>465</v>
      </c>
      <c r="C558" s="124"/>
      <c r="D558" s="124"/>
      <c r="E558" s="125"/>
      <c r="F558" s="126" t="s">
        <v>37</v>
      </c>
      <c r="G558" s="124">
        <f t="shared" si="301"/>
        <v>255696315</v>
      </c>
      <c r="H558" s="124">
        <f t="shared" si="302"/>
        <v>255696315</v>
      </c>
      <c r="I558" s="124">
        <f t="shared" si="302"/>
        <v>0</v>
      </c>
      <c r="J558" s="124">
        <f t="shared" si="298"/>
        <v>255696315</v>
      </c>
      <c r="K558" s="124">
        <v>255696315</v>
      </c>
      <c r="L558" s="124">
        <v>0</v>
      </c>
      <c r="M558" s="124">
        <v>0</v>
      </c>
      <c r="N558" s="124">
        <f t="shared" si="300"/>
        <v>0</v>
      </c>
      <c r="O558" s="124">
        <v>0</v>
      </c>
      <c r="P558" s="124">
        <v>0</v>
      </c>
      <c r="Q558" s="124">
        <v>0</v>
      </c>
    </row>
    <row r="559" spans="1:17" ht="28" customHeight="1" x14ac:dyDescent="0.35">
      <c r="A559" s="45" t="s">
        <v>469</v>
      </c>
      <c r="B559" s="46" t="s">
        <v>470</v>
      </c>
      <c r="C559" s="47">
        <v>0</v>
      </c>
      <c r="D559" s="47">
        <v>0</v>
      </c>
      <c r="E559" s="48">
        <v>0</v>
      </c>
      <c r="F559" s="82" t="s">
        <v>466</v>
      </c>
      <c r="G559" s="48">
        <f t="shared" si="301"/>
        <v>51632244</v>
      </c>
      <c r="H559" s="48">
        <f t="shared" si="302"/>
        <v>0</v>
      </c>
      <c r="I559" s="48">
        <f t="shared" si="302"/>
        <v>0</v>
      </c>
      <c r="J559" s="48">
        <f t="shared" si="298"/>
        <v>0</v>
      </c>
      <c r="K559" s="48">
        <f t="shared" ref="K559:M560" si="303">K560</f>
        <v>0</v>
      </c>
      <c r="L559" s="48">
        <f t="shared" si="303"/>
        <v>0</v>
      </c>
      <c r="M559" s="48">
        <f t="shared" si="303"/>
        <v>51632244</v>
      </c>
      <c r="N559" s="48">
        <f t="shared" si="300"/>
        <v>0</v>
      </c>
      <c r="O559" s="48">
        <f t="shared" ref="O559:Q560" si="304">O560</f>
        <v>0</v>
      </c>
      <c r="P559" s="48">
        <f t="shared" si="304"/>
        <v>0</v>
      </c>
      <c r="Q559" s="48">
        <f t="shared" si="304"/>
        <v>0</v>
      </c>
    </row>
    <row r="560" spans="1:17" ht="28" customHeight="1" x14ac:dyDescent="0.35">
      <c r="A560" s="87" t="s">
        <v>471</v>
      </c>
      <c r="B560" s="88" t="s">
        <v>470</v>
      </c>
      <c r="C560" s="52"/>
      <c r="D560" s="52"/>
      <c r="E560" s="53"/>
      <c r="F560" s="54"/>
      <c r="G560" s="52">
        <f t="shared" si="301"/>
        <v>51632244</v>
      </c>
      <c r="H560" s="52">
        <f t="shared" si="302"/>
        <v>0</v>
      </c>
      <c r="I560" s="52">
        <f t="shared" si="302"/>
        <v>0</v>
      </c>
      <c r="J560" s="52">
        <f t="shared" si="298"/>
        <v>0</v>
      </c>
      <c r="K560" s="52">
        <f t="shared" si="303"/>
        <v>0</v>
      </c>
      <c r="L560" s="52">
        <f t="shared" si="303"/>
        <v>0</v>
      </c>
      <c r="M560" s="52">
        <f t="shared" si="303"/>
        <v>51632244</v>
      </c>
      <c r="N560" s="52">
        <f t="shared" si="300"/>
        <v>0</v>
      </c>
      <c r="O560" s="52">
        <f t="shared" si="304"/>
        <v>0</v>
      </c>
      <c r="P560" s="52">
        <f t="shared" si="304"/>
        <v>0</v>
      </c>
      <c r="Q560" s="52">
        <f t="shared" si="304"/>
        <v>0</v>
      </c>
    </row>
    <row r="561" spans="1:20" ht="28" customHeight="1" x14ac:dyDescent="0.35">
      <c r="A561" s="122" t="s">
        <v>472</v>
      </c>
      <c r="B561" s="123" t="s">
        <v>470</v>
      </c>
      <c r="C561" s="124"/>
      <c r="D561" s="124"/>
      <c r="E561" s="125"/>
      <c r="F561" s="126" t="s">
        <v>37</v>
      </c>
      <c r="G561" s="124">
        <f t="shared" si="301"/>
        <v>51632244</v>
      </c>
      <c r="H561" s="124">
        <f t="shared" si="302"/>
        <v>0</v>
      </c>
      <c r="I561" s="124">
        <f t="shared" si="302"/>
        <v>0</v>
      </c>
      <c r="J561" s="124">
        <f t="shared" si="298"/>
        <v>0</v>
      </c>
      <c r="K561" s="124">
        <v>0</v>
      </c>
      <c r="L561" s="124">
        <v>0</v>
      </c>
      <c r="M561" s="124">
        <v>51632244</v>
      </c>
      <c r="N561" s="124">
        <f t="shared" si="300"/>
        <v>0</v>
      </c>
      <c r="O561" s="124">
        <v>0</v>
      </c>
      <c r="P561" s="124">
        <v>0</v>
      </c>
      <c r="Q561" s="124">
        <v>0</v>
      </c>
    </row>
    <row r="562" spans="1:20" ht="28" customHeight="1" x14ac:dyDescent="0.35">
      <c r="A562" s="45" t="s">
        <v>473</v>
      </c>
      <c r="B562" s="46" t="s">
        <v>474</v>
      </c>
      <c r="C562" s="47">
        <v>0</v>
      </c>
      <c r="D562" s="47">
        <v>0</v>
      </c>
      <c r="E562" s="48">
        <v>0</v>
      </c>
      <c r="F562" s="82" t="s">
        <v>466</v>
      </c>
      <c r="G562" s="48">
        <f t="shared" si="301"/>
        <v>84543983</v>
      </c>
      <c r="H562" s="48">
        <f t="shared" si="302"/>
        <v>84543983</v>
      </c>
      <c r="I562" s="48">
        <f t="shared" si="302"/>
        <v>0</v>
      </c>
      <c r="J562" s="48">
        <f t="shared" si="298"/>
        <v>0</v>
      </c>
      <c r="K562" s="48">
        <f t="shared" ref="K562:M563" si="305">K563</f>
        <v>0</v>
      </c>
      <c r="L562" s="48">
        <f t="shared" si="305"/>
        <v>0</v>
      </c>
      <c r="M562" s="48">
        <f t="shared" si="305"/>
        <v>0</v>
      </c>
      <c r="N562" s="48">
        <f t="shared" si="300"/>
        <v>84543983</v>
      </c>
      <c r="O562" s="48">
        <f t="shared" ref="O562:Q563" si="306">O563</f>
        <v>84543983</v>
      </c>
      <c r="P562" s="48">
        <f t="shared" si="306"/>
        <v>0</v>
      </c>
      <c r="Q562" s="48">
        <f t="shared" si="306"/>
        <v>0</v>
      </c>
    </row>
    <row r="563" spans="1:20" ht="28" customHeight="1" x14ac:dyDescent="0.35">
      <c r="A563" s="87" t="s">
        <v>475</v>
      </c>
      <c r="B563" s="88" t="s">
        <v>474</v>
      </c>
      <c r="C563" s="52"/>
      <c r="D563" s="52"/>
      <c r="E563" s="53"/>
      <c r="F563" s="54"/>
      <c r="G563" s="52">
        <f t="shared" si="301"/>
        <v>84543983</v>
      </c>
      <c r="H563" s="52">
        <f t="shared" si="302"/>
        <v>84543983</v>
      </c>
      <c r="I563" s="52">
        <f t="shared" si="302"/>
        <v>0</v>
      </c>
      <c r="J563" s="52">
        <f t="shared" si="298"/>
        <v>0</v>
      </c>
      <c r="K563" s="52">
        <f t="shared" si="305"/>
        <v>0</v>
      </c>
      <c r="L563" s="52">
        <f t="shared" si="305"/>
        <v>0</v>
      </c>
      <c r="M563" s="52">
        <f t="shared" si="305"/>
        <v>0</v>
      </c>
      <c r="N563" s="52">
        <f t="shared" si="300"/>
        <v>84543983</v>
      </c>
      <c r="O563" s="52">
        <f t="shared" si="306"/>
        <v>84543983</v>
      </c>
      <c r="P563" s="52">
        <f t="shared" si="306"/>
        <v>0</v>
      </c>
      <c r="Q563" s="52">
        <f t="shared" si="306"/>
        <v>0</v>
      </c>
    </row>
    <row r="564" spans="1:20" ht="28" customHeight="1" x14ac:dyDescent="0.35">
      <c r="A564" s="122" t="s">
        <v>476</v>
      </c>
      <c r="B564" s="123" t="s">
        <v>474</v>
      </c>
      <c r="C564" s="124"/>
      <c r="D564" s="124"/>
      <c r="E564" s="125"/>
      <c r="F564" s="126" t="s">
        <v>37</v>
      </c>
      <c r="G564" s="124">
        <f t="shared" si="301"/>
        <v>84543983</v>
      </c>
      <c r="H564" s="124">
        <f t="shared" si="302"/>
        <v>84543983</v>
      </c>
      <c r="I564" s="124">
        <f t="shared" si="302"/>
        <v>0</v>
      </c>
      <c r="J564" s="124">
        <f t="shared" si="298"/>
        <v>0</v>
      </c>
      <c r="K564" s="124">
        <v>0</v>
      </c>
      <c r="L564" s="124">
        <v>0</v>
      </c>
      <c r="M564" s="124">
        <v>0</v>
      </c>
      <c r="N564" s="124">
        <f t="shared" si="300"/>
        <v>84543983</v>
      </c>
      <c r="O564" s="124">
        <v>84543983</v>
      </c>
      <c r="P564" s="124">
        <v>0</v>
      </c>
      <c r="Q564" s="124">
        <v>0</v>
      </c>
    </row>
    <row r="565" spans="1:20" ht="28" customHeight="1" x14ac:dyDescent="0.35">
      <c r="A565" s="45" t="s">
        <v>477</v>
      </c>
      <c r="B565" s="46" t="s">
        <v>478</v>
      </c>
      <c r="C565" s="47">
        <v>0</v>
      </c>
      <c r="D565" s="47">
        <v>0</v>
      </c>
      <c r="E565" s="48">
        <v>0</v>
      </c>
      <c r="F565" s="82" t="s">
        <v>466</v>
      </c>
      <c r="G565" s="48">
        <f t="shared" si="301"/>
        <v>18360759</v>
      </c>
      <c r="H565" s="48">
        <f t="shared" si="302"/>
        <v>0</v>
      </c>
      <c r="I565" s="48">
        <f t="shared" si="302"/>
        <v>0</v>
      </c>
      <c r="J565" s="48">
        <f t="shared" si="298"/>
        <v>0</v>
      </c>
      <c r="K565" s="48">
        <f t="shared" ref="K565:M566" si="307">K566</f>
        <v>0</v>
      </c>
      <c r="L565" s="48">
        <f t="shared" si="307"/>
        <v>0</v>
      </c>
      <c r="M565" s="48">
        <f t="shared" si="307"/>
        <v>0</v>
      </c>
      <c r="N565" s="48">
        <f t="shared" si="300"/>
        <v>0</v>
      </c>
      <c r="O565" s="48">
        <f t="shared" ref="O565:Q566" si="308">O566</f>
        <v>0</v>
      </c>
      <c r="P565" s="48">
        <f t="shared" si="308"/>
        <v>0</v>
      </c>
      <c r="Q565" s="48">
        <f t="shared" si="308"/>
        <v>18360759</v>
      </c>
    </row>
    <row r="566" spans="1:20" ht="28" customHeight="1" x14ac:dyDescent="0.35">
      <c r="A566" s="87" t="s">
        <v>479</v>
      </c>
      <c r="B566" s="88" t="s">
        <v>478</v>
      </c>
      <c r="C566" s="52"/>
      <c r="D566" s="52"/>
      <c r="E566" s="53"/>
      <c r="F566" s="54"/>
      <c r="G566" s="52">
        <f t="shared" si="301"/>
        <v>18360759</v>
      </c>
      <c r="H566" s="52">
        <f t="shared" si="302"/>
        <v>0</v>
      </c>
      <c r="I566" s="52">
        <f t="shared" si="302"/>
        <v>0</v>
      </c>
      <c r="J566" s="52">
        <f t="shared" si="298"/>
        <v>0</v>
      </c>
      <c r="K566" s="52">
        <f t="shared" si="307"/>
        <v>0</v>
      </c>
      <c r="L566" s="52">
        <f t="shared" si="307"/>
        <v>0</v>
      </c>
      <c r="M566" s="52">
        <f t="shared" si="307"/>
        <v>0</v>
      </c>
      <c r="N566" s="52">
        <f t="shared" si="300"/>
        <v>0</v>
      </c>
      <c r="O566" s="52">
        <f t="shared" si="308"/>
        <v>0</v>
      </c>
      <c r="P566" s="52">
        <f t="shared" si="308"/>
        <v>0</v>
      </c>
      <c r="Q566" s="52">
        <f t="shared" si="308"/>
        <v>18360759</v>
      </c>
    </row>
    <row r="567" spans="1:20" ht="28" customHeight="1" x14ac:dyDescent="0.35">
      <c r="A567" s="122" t="s">
        <v>480</v>
      </c>
      <c r="B567" s="123" t="s">
        <v>478</v>
      </c>
      <c r="C567" s="124"/>
      <c r="D567" s="124"/>
      <c r="E567" s="125"/>
      <c r="F567" s="126" t="s">
        <v>37</v>
      </c>
      <c r="G567" s="124">
        <f t="shared" si="301"/>
        <v>18360759</v>
      </c>
      <c r="H567" s="124">
        <f t="shared" si="302"/>
        <v>0</v>
      </c>
      <c r="I567" s="124">
        <f t="shared" si="302"/>
        <v>0</v>
      </c>
      <c r="J567" s="124">
        <f t="shared" si="298"/>
        <v>0</v>
      </c>
      <c r="K567" s="124">
        <v>0</v>
      </c>
      <c r="L567" s="124">
        <v>0</v>
      </c>
      <c r="M567" s="124">
        <v>0</v>
      </c>
      <c r="N567" s="124">
        <f t="shared" si="300"/>
        <v>0</v>
      </c>
      <c r="O567" s="124">
        <v>0</v>
      </c>
      <c r="P567" s="124">
        <v>0</v>
      </c>
      <c r="Q567" s="124">
        <v>18360759</v>
      </c>
      <c r="T567" s="55"/>
    </row>
    <row r="568" spans="1:20" s="76" customFormat="1" ht="30" customHeight="1" x14ac:dyDescent="0.35">
      <c r="A568" s="127" t="s">
        <v>481</v>
      </c>
      <c r="B568" s="128"/>
      <c r="C568" s="129"/>
      <c r="D568" s="129"/>
      <c r="E568" s="129"/>
      <c r="F568" s="130"/>
      <c r="G568" s="131"/>
      <c r="H568" s="131"/>
      <c r="I568" s="132"/>
      <c r="J568" s="132"/>
      <c r="K568" s="132"/>
      <c r="L568" s="132"/>
      <c r="M568" s="132"/>
      <c r="N568" s="132"/>
      <c r="O568" s="132"/>
      <c r="P568" s="132"/>
      <c r="Q568" s="132"/>
    </row>
    <row r="569" spans="1:20" ht="30" customHeight="1" x14ac:dyDescent="0.35">
      <c r="A569" s="133" t="s">
        <v>482</v>
      </c>
      <c r="B569" s="134"/>
      <c r="C569" s="135"/>
      <c r="D569" s="135"/>
      <c r="E569" s="135"/>
      <c r="F569" s="136"/>
      <c r="G569" s="137"/>
      <c r="H569" s="137"/>
      <c r="I569" s="137"/>
      <c r="J569" s="137"/>
      <c r="K569" s="137"/>
      <c r="L569" s="137"/>
      <c r="M569" s="137"/>
      <c r="N569" s="137"/>
      <c r="O569" s="137"/>
      <c r="P569" s="137"/>
      <c r="Q569" s="137"/>
    </row>
    <row r="570" spans="1:20" ht="30" customHeight="1" x14ac:dyDescent="0.35">
      <c r="A570" s="133" t="s">
        <v>483</v>
      </c>
      <c r="B570" s="134"/>
      <c r="C570" s="135"/>
      <c r="D570" s="135"/>
      <c r="E570" s="135"/>
      <c r="F570" s="136"/>
      <c r="G570" s="137"/>
      <c r="H570" s="137"/>
      <c r="I570" s="137"/>
      <c r="J570" s="137"/>
      <c r="K570" s="137"/>
      <c r="L570" s="137"/>
      <c r="M570" s="137"/>
      <c r="N570" s="137"/>
      <c r="O570" s="137"/>
      <c r="P570" s="137"/>
      <c r="Q570" s="137"/>
    </row>
    <row r="571" spans="1:20" ht="30" customHeight="1" x14ac:dyDescent="0.35">
      <c r="A571" s="133" t="s">
        <v>484</v>
      </c>
      <c r="B571" s="134"/>
      <c r="C571" s="135"/>
      <c r="D571" s="135"/>
      <c r="E571" s="135"/>
      <c r="F571" s="136"/>
      <c r="G571" s="137"/>
      <c r="H571" s="137"/>
      <c r="I571" s="137"/>
      <c r="J571" s="137"/>
      <c r="K571" s="137"/>
      <c r="L571" s="137"/>
      <c r="M571" s="137"/>
      <c r="N571" s="137"/>
      <c r="O571" s="137"/>
      <c r="P571" s="137"/>
      <c r="Q571" s="137"/>
    </row>
    <row r="572" spans="1:20" ht="30" customHeight="1" x14ac:dyDescent="0.35">
      <c r="A572" s="133" t="s">
        <v>485</v>
      </c>
      <c r="B572" s="134"/>
      <c r="C572" s="135"/>
      <c r="D572" s="135"/>
      <c r="E572" s="135"/>
      <c r="F572" s="136"/>
      <c r="G572" s="137"/>
      <c r="H572" s="137"/>
      <c r="I572" s="137"/>
      <c r="J572" s="137"/>
      <c r="K572" s="137"/>
      <c r="L572" s="137"/>
      <c r="M572" s="137"/>
      <c r="N572" s="137"/>
      <c r="O572" s="137"/>
      <c r="P572" s="137"/>
      <c r="Q572" s="137"/>
    </row>
    <row r="573" spans="1:20" ht="30" customHeight="1" x14ac:dyDescent="0.35">
      <c r="A573" s="134"/>
      <c r="B573" s="134"/>
      <c r="C573" s="135"/>
      <c r="D573" s="135"/>
      <c r="E573" s="135"/>
      <c r="F573" s="136"/>
      <c r="G573" s="137"/>
      <c r="H573" s="137"/>
      <c r="I573" s="137"/>
      <c r="J573" s="137"/>
      <c r="K573" s="137"/>
      <c r="L573" s="137"/>
      <c r="M573" s="137"/>
      <c r="N573" s="137"/>
      <c r="O573" s="137"/>
      <c r="P573" s="137"/>
      <c r="Q573" s="137"/>
    </row>
    <row r="574" spans="1:20" s="44" customFormat="1" ht="30" customHeight="1" x14ac:dyDescent="0.35">
      <c r="A574" s="138" t="s">
        <v>486</v>
      </c>
      <c r="B574" s="139"/>
      <c r="C574" s="140"/>
      <c r="D574" s="140"/>
      <c r="E574" s="140"/>
      <c r="F574" s="141"/>
      <c r="G574" s="142"/>
      <c r="H574" s="142"/>
      <c r="I574" s="142"/>
      <c r="J574" s="142"/>
      <c r="K574" s="142"/>
      <c r="L574" s="142"/>
      <c r="M574" s="142"/>
      <c r="N574" s="142"/>
      <c r="O574" s="142"/>
      <c r="P574" s="142"/>
      <c r="Q574" s="142"/>
    </row>
    <row r="575" spans="1:20" s="44" customFormat="1" ht="30" customHeight="1" x14ac:dyDescent="0.35">
      <c r="A575" s="143" t="s">
        <v>487</v>
      </c>
      <c r="B575" s="144"/>
      <c r="C575" s="144"/>
      <c r="D575" s="144"/>
      <c r="E575" s="144"/>
      <c r="F575" s="145"/>
      <c r="G575" s="143"/>
      <c r="H575" s="143"/>
      <c r="I575" s="143"/>
      <c r="J575" s="143"/>
      <c r="K575" s="143"/>
      <c r="L575" s="143"/>
      <c r="M575" s="143"/>
      <c r="N575" s="143"/>
      <c r="O575" s="143"/>
      <c r="P575" s="143"/>
      <c r="Q575" s="143"/>
    </row>
    <row r="576" spans="1:20" s="44" customFormat="1" ht="30" customHeight="1" x14ac:dyDescent="0.35">
      <c r="A576" s="143" t="s">
        <v>488</v>
      </c>
      <c r="B576" s="144"/>
      <c r="C576" s="144"/>
      <c r="D576" s="144"/>
      <c r="E576" s="144"/>
      <c r="F576" s="145"/>
      <c r="G576" s="143"/>
      <c r="H576" s="143"/>
      <c r="I576" s="143"/>
      <c r="J576" s="143"/>
      <c r="K576" s="143"/>
      <c r="L576" s="143"/>
      <c r="M576" s="143"/>
      <c r="N576" s="143"/>
      <c r="O576" s="143"/>
      <c r="P576" s="143"/>
      <c r="Q576" s="143"/>
    </row>
    <row r="577" spans="1:17" s="44" customFormat="1" ht="30" customHeight="1" x14ac:dyDescent="0.35">
      <c r="A577" s="143" t="s">
        <v>489</v>
      </c>
      <c r="B577" s="144"/>
      <c r="C577" s="144"/>
      <c r="D577" s="144"/>
      <c r="E577" s="144"/>
      <c r="F577" s="145"/>
      <c r="G577" s="143"/>
      <c r="H577" s="143"/>
      <c r="I577" s="143"/>
      <c r="J577" s="143"/>
      <c r="K577" s="143"/>
      <c r="L577" s="143"/>
      <c r="M577" s="143"/>
      <c r="N577" s="143"/>
      <c r="O577" s="143"/>
      <c r="P577" s="143"/>
      <c r="Q577" s="143"/>
    </row>
    <row r="578" spans="1:17" s="44" customFormat="1" ht="30" customHeight="1" x14ac:dyDescent="0.35">
      <c r="A578" s="139" t="s">
        <v>490</v>
      </c>
      <c r="B578" s="139"/>
      <c r="C578" s="146"/>
      <c r="D578" s="147"/>
      <c r="E578" s="147"/>
      <c r="F578" s="148"/>
      <c r="G578" s="139"/>
      <c r="H578" s="139"/>
      <c r="I578" s="139"/>
      <c r="J578" s="139"/>
      <c r="K578" s="149"/>
      <c r="L578" s="150"/>
      <c r="M578" s="150"/>
      <c r="N578" s="151"/>
      <c r="O578" s="152"/>
      <c r="P578" s="153"/>
      <c r="Q578" s="154"/>
    </row>
    <row r="579" spans="1:17" s="44" customFormat="1" ht="30" customHeight="1" x14ac:dyDescent="0.35">
      <c r="A579" s="139" t="s">
        <v>491</v>
      </c>
      <c r="B579" s="139"/>
      <c r="C579" s="155"/>
      <c r="D579" s="156"/>
      <c r="E579" s="156"/>
      <c r="F579" s="148"/>
      <c r="G579" s="139"/>
      <c r="H579" s="139"/>
      <c r="I579" s="139"/>
      <c r="J579" s="139"/>
      <c r="K579" s="149"/>
      <c r="L579" s="150"/>
      <c r="M579" s="150"/>
      <c r="N579" s="151"/>
      <c r="O579" s="152"/>
      <c r="P579" s="153"/>
      <c r="Q579" s="154"/>
    </row>
    <row r="580" spans="1:17" s="44" customFormat="1" ht="30" customHeight="1" x14ac:dyDescent="0.35">
      <c r="A580" s="139" t="s">
        <v>492</v>
      </c>
      <c r="B580" s="139"/>
      <c r="C580" s="155"/>
      <c r="D580" s="156"/>
      <c r="E580" s="156"/>
      <c r="F580" s="157"/>
      <c r="G580" s="142"/>
      <c r="H580" s="142"/>
      <c r="I580" s="142"/>
      <c r="J580" s="142"/>
      <c r="K580" s="142"/>
      <c r="L580" s="142"/>
      <c r="M580" s="142"/>
      <c r="N580" s="142"/>
      <c r="O580" s="142"/>
      <c r="P580" s="142"/>
      <c r="Q580" s="142"/>
    </row>
    <row r="581" spans="1:17" s="44" customFormat="1" ht="30" customHeight="1" x14ac:dyDescent="0.35">
      <c r="A581" s="139" t="s">
        <v>493</v>
      </c>
      <c r="B581" s="139"/>
      <c r="C581" s="155"/>
      <c r="D581" s="156"/>
      <c r="E581" s="156"/>
      <c r="F581" s="157"/>
      <c r="G581" s="142"/>
      <c r="H581" s="142"/>
      <c r="I581" s="142"/>
      <c r="J581" s="142"/>
      <c r="K581" s="142"/>
      <c r="L581" s="142"/>
      <c r="M581" s="142"/>
      <c r="N581" s="142"/>
      <c r="O581" s="142"/>
      <c r="P581" s="142"/>
      <c r="Q581" s="142"/>
    </row>
    <row r="582" spans="1:17" s="44" customFormat="1" ht="30" customHeight="1" x14ac:dyDescent="0.35">
      <c r="A582" s="139" t="s">
        <v>494</v>
      </c>
      <c r="B582" s="139"/>
      <c r="C582" s="155"/>
      <c r="D582" s="156"/>
      <c r="E582" s="156"/>
      <c r="F582" s="157"/>
      <c r="G582" s="142"/>
      <c r="H582" s="142"/>
      <c r="I582" s="142"/>
      <c r="J582" s="142"/>
      <c r="K582" s="142"/>
      <c r="L582" s="142"/>
      <c r="M582" s="142"/>
      <c r="N582" s="142"/>
      <c r="O582" s="142"/>
      <c r="P582" s="142"/>
      <c r="Q582" s="142"/>
    </row>
    <row r="583" spans="1:17" s="44" customFormat="1" ht="30" customHeight="1" x14ac:dyDescent="0.35">
      <c r="A583" s="139" t="s">
        <v>495</v>
      </c>
      <c r="B583" s="139"/>
      <c r="C583" s="155"/>
      <c r="D583" s="156"/>
      <c r="E583" s="156"/>
      <c r="F583" s="157"/>
      <c r="G583" s="142"/>
      <c r="H583" s="142"/>
      <c r="I583" s="142"/>
      <c r="J583" s="142"/>
      <c r="K583" s="142"/>
      <c r="L583" s="142"/>
      <c r="M583" s="142"/>
      <c r="N583" s="142"/>
      <c r="O583" s="142"/>
      <c r="P583" s="142"/>
      <c r="Q583" s="142"/>
    </row>
    <row r="584" spans="1:17" s="44" customFormat="1" ht="30" customHeight="1" x14ac:dyDescent="0.35">
      <c r="A584" s="139" t="s">
        <v>496</v>
      </c>
      <c r="B584" s="139"/>
      <c r="C584" s="155"/>
      <c r="D584" s="156"/>
      <c r="E584" s="156"/>
      <c r="F584" s="157"/>
      <c r="G584" s="142"/>
      <c r="H584" s="142"/>
      <c r="I584" s="142"/>
      <c r="J584" s="142"/>
      <c r="K584" s="142"/>
      <c r="L584" s="142"/>
      <c r="M584" s="142"/>
      <c r="N584" s="142"/>
      <c r="O584" s="142"/>
      <c r="P584" s="142"/>
      <c r="Q584" s="142"/>
    </row>
    <row r="585" spans="1:17" s="44" customFormat="1" ht="30" customHeight="1" x14ac:dyDescent="0.35">
      <c r="A585" s="139" t="s">
        <v>497</v>
      </c>
      <c r="B585" s="139"/>
      <c r="C585" s="155"/>
      <c r="D585" s="156"/>
      <c r="E585" s="156"/>
      <c r="F585" s="157"/>
      <c r="G585" s="142"/>
      <c r="H585" s="142"/>
      <c r="I585" s="142"/>
      <c r="J585" s="142"/>
      <c r="K585" s="142"/>
      <c r="L585" s="142"/>
      <c r="M585" s="142"/>
      <c r="N585" s="142"/>
      <c r="O585" s="142"/>
      <c r="P585" s="142"/>
      <c r="Q585" s="142"/>
    </row>
    <row r="586" spans="1:17" s="44" customFormat="1" ht="30" customHeight="1" x14ac:dyDescent="0.35">
      <c r="A586" s="139" t="s">
        <v>498</v>
      </c>
      <c r="B586" s="139"/>
      <c r="C586" s="158"/>
      <c r="D586" s="156"/>
      <c r="E586" s="156"/>
      <c r="F586" s="157"/>
      <c r="G586" s="142"/>
      <c r="H586" s="142"/>
      <c r="I586" s="142"/>
      <c r="J586" s="142"/>
      <c r="K586" s="142"/>
      <c r="L586" s="142"/>
      <c r="M586" s="142"/>
      <c r="N586" s="142"/>
      <c r="O586" s="142"/>
      <c r="P586" s="142"/>
      <c r="Q586" s="142"/>
    </row>
    <row r="587" spans="1:17" s="44" customFormat="1" ht="30" customHeight="1" x14ac:dyDescent="0.35">
      <c r="A587" s="139" t="s">
        <v>499</v>
      </c>
      <c r="B587" s="139"/>
      <c r="C587" s="155"/>
      <c r="D587" s="159"/>
      <c r="E587" s="159"/>
      <c r="F587" s="157"/>
      <c r="G587" s="142"/>
      <c r="H587" s="142"/>
      <c r="I587" s="142"/>
      <c r="J587" s="142"/>
      <c r="K587" s="142"/>
      <c r="L587" s="142"/>
      <c r="M587" s="142"/>
      <c r="N587" s="142"/>
      <c r="O587" s="142"/>
      <c r="P587" s="142"/>
      <c r="Q587" s="142"/>
    </row>
    <row r="588" spans="1:17" s="44" customFormat="1" ht="30" customHeight="1" x14ac:dyDescent="0.35">
      <c r="A588" s="139" t="s">
        <v>500</v>
      </c>
      <c r="B588" s="139"/>
      <c r="C588" s="148"/>
      <c r="D588" s="148"/>
      <c r="E588" s="148"/>
      <c r="F588" s="157"/>
      <c r="G588" s="142"/>
      <c r="H588" s="142"/>
      <c r="I588" s="142"/>
      <c r="J588" s="142"/>
      <c r="K588" s="142"/>
      <c r="L588" s="142"/>
      <c r="M588" s="142"/>
      <c r="N588" s="142"/>
      <c r="O588" s="142"/>
      <c r="P588" s="142"/>
      <c r="Q588" s="142"/>
    </row>
    <row r="589" spans="1:17" s="44" customFormat="1" ht="30" customHeight="1" x14ac:dyDescent="0.35">
      <c r="A589" s="139" t="s">
        <v>501</v>
      </c>
      <c r="B589" s="139"/>
      <c r="C589" s="148"/>
      <c r="D589" s="148"/>
      <c r="E589" s="148"/>
      <c r="F589" s="157"/>
      <c r="G589" s="142"/>
      <c r="H589" s="142"/>
      <c r="I589" s="142"/>
      <c r="J589" s="142"/>
      <c r="K589" s="142"/>
      <c r="L589" s="142"/>
      <c r="M589" s="142"/>
      <c r="N589" s="142"/>
      <c r="O589" s="142"/>
      <c r="P589" s="142"/>
      <c r="Q589" s="142"/>
    </row>
    <row r="590" spans="1:17" s="44" customFormat="1" ht="30" customHeight="1" x14ac:dyDescent="0.35">
      <c r="A590" s="139" t="s">
        <v>502</v>
      </c>
      <c r="B590" s="139"/>
      <c r="C590" s="148"/>
      <c r="D590" s="148"/>
      <c r="E590" s="148"/>
      <c r="F590" s="157"/>
      <c r="G590" s="142"/>
      <c r="H590" s="142"/>
      <c r="I590" s="142"/>
      <c r="J590" s="142"/>
      <c r="K590" s="142"/>
      <c r="L590" s="142"/>
      <c r="M590" s="142"/>
      <c r="N590" s="142"/>
      <c r="O590" s="142"/>
      <c r="P590" s="142"/>
      <c r="Q590" s="142"/>
    </row>
    <row r="591" spans="1:17" s="44" customFormat="1" ht="30" customHeight="1" x14ac:dyDescent="0.35">
      <c r="A591" s="139" t="s">
        <v>503</v>
      </c>
      <c r="B591" s="139"/>
      <c r="C591" s="148"/>
      <c r="D591" s="148"/>
      <c r="E591" s="148"/>
      <c r="F591" s="157"/>
      <c r="G591" s="142"/>
      <c r="H591" s="142"/>
      <c r="I591" s="142"/>
      <c r="J591" s="142"/>
      <c r="K591" s="142"/>
      <c r="L591" s="142"/>
      <c r="M591" s="142"/>
      <c r="N591" s="142"/>
      <c r="O591" s="142"/>
      <c r="P591" s="142"/>
      <c r="Q591" s="142"/>
    </row>
    <row r="592" spans="1:17" s="44" customFormat="1" ht="30" customHeight="1" x14ac:dyDescent="0.35">
      <c r="A592" s="139" t="s">
        <v>504</v>
      </c>
      <c r="B592" s="139"/>
      <c r="C592" s="148"/>
      <c r="D592" s="148"/>
      <c r="E592" s="148"/>
      <c r="F592" s="157"/>
      <c r="G592" s="142"/>
      <c r="H592" s="142"/>
      <c r="I592" s="142"/>
      <c r="J592" s="142"/>
      <c r="K592" s="142"/>
      <c r="L592" s="142"/>
      <c r="M592" s="142"/>
      <c r="N592" s="142"/>
      <c r="O592" s="142"/>
      <c r="P592" s="142"/>
      <c r="Q592" s="142"/>
    </row>
    <row r="593" spans="1:17" s="44" customFormat="1" ht="30" customHeight="1" x14ac:dyDescent="0.35">
      <c r="A593" s="139" t="s">
        <v>505</v>
      </c>
      <c r="B593" s="139"/>
      <c r="C593" s="148"/>
      <c r="D593" s="148"/>
      <c r="E593" s="148"/>
      <c r="F593" s="148"/>
      <c r="G593" s="139"/>
      <c r="H593" s="139"/>
      <c r="I593" s="139"/>
      <c r="J593" s="139"/>
      <c r="K593" s="149"/>
      <c r="L593" s="150"/>
      <c r="M593" s="150"/>
      <c r="N593" s="151"/>
      <c r="O593" s="153"/>
      <c r="P593" s="160"/>
      <c r="Q593" s="154"/>
    </row>
    <row r="594" spans="1:17" s="44" customFormat="1" ht="30" customHeight="1" x14ac:dyDescent="0.35">
      <c r="A594" s="139" t="s">
        <v>506</v>
      </c>
      <c r="B594" s="139"/>
      <c r="C594" s="148"/>
      <c r="D594" s="148"/>
      <c r="E594" s="148"/>
      <c r="F594" s="148"/>
      <c r="G594" s="139"/>
      <c r="H594" s="139"/>
      <c r="I594" s="139"/>
      <c r="J594" s="139"/>
      <c r="K594" s="149"/>
      <c r="L594" s="150"/>
      <c r="M594" s="150"/>
      <c r="N594" s="151"/>
      <c r="O594" s="153"/>
      <c r="P594" s="160"/>
      <c r="Q594" s="154"/>
    </row>
    <row r="595" spans="1:17" s="44" customFormat="1" ht="30" customHeight="1" x14ac:dyDescent="0.35">
      <c r="A595" s="140" t="s">
        <v>507</v>
      </c>
      <c r="B595" s="139"/>
      <c r="C595" s="148"/>
      <c r="D595" s="148"/>
      <c r="E595" s="148"/>
      <c r="F595" s="148"/>
      <c r="G595" s="139"/>
      <c r="H595" s="139"/>
      <c r="I595" s="139"/>
      <c r="J595" s="139"/>
      <c r="K595" s="149"/>
      <c r="L595" s="150"/>
      <c r="M595" s="150"/>
      <c r="N595" s="151"/>
      <c r="O595" s="153"/>
      <c r="P595" s="160"/>
      <c r="Q595" s="154"/>
    </row>
    <row r="596" spans="1:17" s="44" customFormat="1" ht="30" customHeight="1" x14ac:dyDescent="0.35">
      <c r="A596" s="139" t="s">
        <v>508</v>
      </c>
      <c r="B596" s="139"/>
      <c r="C596" s="148"/>
      <c r="D596" s="148"/>
      <c r="E596" s="148"/>
      <c r="F596" s="157"/>
      <c r="G596" s="142"/>
      <c r="H596" s="142"/>
      <c r="I596" s="142"/>
      <c r="J596" s="142"/>
      <c r="K596" s="142"/>
      <c r="L596" s="142"/>
      <c r="M596" s="142"/>
      <c r="N596" s="142"/>
      <c r="O596" s="161"/>
      <c r="P596" s="161"/>
      <c r="Q596" s="161"/>
    </row>
    <row r="597" spans="1:17" s="44" customFormat="1" ht="30" customHeight="1" x14ac:dyDescent="0.35">
      <c r="A597" s="139" t="s">
        <v>509</v>
      </c>
      <c r="B597" s="139"/>
      <c r="C597" s="148"/>
      <c r="D597" s="148"/>
      <c r="E597" s="148"/>
      <c r="F597" s="157"/>
      <c r="G597" s="142"/>
      <c r="H597" s="142"/>
      <c r="I597" s="142"/>
      <c r="J597" s="142"/>
      <c r="K597" s="142"/>
      <c r="L597" s="142"/>
      <c r="M597" s="142"/>
      <c r="N597" s="142"/>
      <c r="O597" s="162"/>
      <c r="P597" s="161"/>
      <c r="Q597" s="161"/>
    </row>
    <row r="598" spans="1:17" s="44" customFormat="1" ht="30" customHeight="1" x14ac:dyDescent="0.35">
      <c r="A598" s="139" t="s">
        <v>510</v>
      </c>
      <c r="B598" s="139"/>
      <c r="C598" s="148"/>
      <c r="D598" s="148"/>
      <c r="E598" s="148"/>
      <c r="F598" s="157"/>
      <c r="G598" s="142"/>
      <c r="H598" s="142"/>
      <c r="I598" s="142"/>
      <c r="J598" s="142"/>
      <c r="K598" s="142"/>
      <c r="L598" s="142"/>
      <c r="M598" s="142"/>
      <c r="N598" s="142"/>
      <c r="O598" s="142"/>
      <c r="P598" s="142"/>
      <c r="Q598" s="142"/>
    </row>
    <row r="599" spans="1:17" s="44" customFormat="1" ht="30" customHeight="1" x14ac:dyDescent="0.35">
      <c r="A599" s="139" t="s">
        <v>511</v>
      </c>
      <c r="B599" s="139"/>
      <c r="C599" s="148"/>
      <c r="D599" s="148"/>
      <c r="E599" s="148"/>
      <c r="F599" s="157"/>
      <c r="G599" s="142"/>
      <c r="H599" s="142"/>
      <c r="I599" s="142"/>
      <c r="J599" s="142"/>
      <c r="K599" s="142"/>
      <c r="L599" s="142"/>
      <c r="M599" s="142"/>
      <c r="N599" s="142"/>
      <c r="O599" s="142"/>
      <c r="P599" s="142"/>
      <c r="Q599" s="142"/>
    </row>
    <row r="600" spans="1:17" s="44" customFormat="1" ht="30" customHeight="1" x14ac:dyDescent="0.35">
      <c r="A600" s="143" t="s">
        <v>512</v>
      </c>
      <c r="B600" s="144"/>
      <c r="C600" s="144"/>
      <c r="D600" s="144"/>
      <c r="E600" s="144"/>
      <c r="F600" s="145"/>
      <c r="G600" s="143"/>
      <c r="H600" s="143"/>
      <c r="I600" s="143"/>
      <c r="J600" s="143"/>
      <c r="K600" s="143"/>
      <c r="L600" s="143"/>
      <c r="M600" s="143"/>
      <c r="N600" s="143"/>
      <c r="O600" s="143"/>
      <c r="P600" s="143"/>
      <c r="Q600" s="143"/>
    </row>
    <row r="601" spans="1:17" s="44" customFormat="1" ht="30" customHeight="1" x14ac:dyDescent="0.35">
      <c r="A601" s="148" t="s">
        <v>513</v>
      </c>
      <c r="B601" s="139"/>
      <c r="C601" s="148"/>
      <c r="D601" s="148"/>
      <c r="E601" s="148"/>
      <c r="F601" s="157"/>
      <c r="G601" s="142"/>
      <c r="H601" s="142"/>
      <c r="I601" s="142"/>
      <c r="J601" s="142"/>
      <c r="K601" s="142"/>
      <c r="L601" s="142"/>
      <c r="M601" s="142"/>
      <c r="N601" s="142"/>
      <c r="O601" s="142"/>
      <c r="P601" s="142"/>
      <c r="Q601" s="142"/>
    </row>
    <row r="602" spans="1:17" s="44" customFormat="1" ht="30" customHeight="1" x14ac:dyDescent="0.35">
      <c r="A602" s="148" t="s">
        <v>514</v>
      </c>
      <c r="B602" s="139"/>
      <c r="C602" s="148"/>
      <c r="D602" s="148"/>
      <c r="E602" s="148"/>
      <c r="F602" s="157"/>
      <c r="G602" s="142"/>
      <c r="H602" s="142"/>
      <c r="I602" s="142"/>
      <c r="J602" s="142"/>
      <c r="K602" s="142"/>
      <c r="L602" s="163"/>
      <c r="M602" s="163"/>
      <c r="N602" s="163"/>
      <c r="O602" s="142"/>
      <c r="P602" s="142"/>
      <c r="Q602" s="142"/>
    </row>
    <row r="603" spans="1:17" s="44" customFormat="1" ht="30" customHeight="1" x14ac:dyDescent="0.35">
      <c r="A603" s="148" t="s">
        <v>515</v>
      </c>
      <c r="B603" s="139"/>
      <c r="C603" s="148"/>
      <c r="D603" s="148"/>
      <c r="E603" s="148"/>
      <c r="F603" s="148"/>
      <c r="G603" s="139"/>
      <c r="H603" s="139"/>
      <c r="I603" s="139"/>
      <c r="J603" s="139"/>
      <c r="K603" s="149"/>
      <c r="L603" s="164"/>
      <c r="M603" s="164"/>
      <c r="N603" s="165"/>
      <c r="O603" s="153"/>
      <c r="P603" s="153"/>
      <c r="Q603" s="154"/>
    </row>
    <row r="604" spans="1:17" s="44" customFormat="1" ht="30" customHeight="1" x14ac:dyDescent="0.35">
      <c r="A604" s="148" t="s">
        <v>516</v>
      </c>
      <c r="B604" s="139"/>
      <c r="C604" s="148"/>
      <c r="D604" s="148"/>
      <c r="E604" s="148"/>
      <c r="F604" s="148"/>
      <c r="G604" s="139"/>
      <c r="H604" s="139"/>
      <c r="I604" s="139"/>
      <c r="J604" s="139"/>
      <c r="K604" s="149"/>
      <c r="L604" s="164"/>
      <c r="M604" s="164"/>
      <c r="N604" s="165"/>
      <c r="O604" s="153"/>
      <c r="P604" s="153"/>
      <c r="Q604" s="154"/>
    </row>
    <row r="605" spans="1:17" s="44" customFormat="1" ht="30" customHeight="1" x14ac:dyDescent="0.35">
      <c r="A605" s="143" t="s">
        <v>517</v>
      </c>
      <c r="B605" s="144"/>
      <c r="C605" s="144"/>
      <c r="D605" s="144"/>
      <c r="E605" s="144"/>
      <c r="F605" s="145"/>
      <c r="G605" s="143"/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</row>
    <row r="606" spans="1:17" s="44" customFormat="1" ht="30" customHeight="1" x14ac:dyDescent="0.35">
      <c r="A606" s="139" t="s">
        <v>518</v>
      </c>
      <c r="B606" s="139"/>
      <c r="C606" s="148"/>
      <c r="D606" s="148"/>
      <c r="E606" s="148"/>
      <c r="F606" s="148"/>
      <c r="G606" s="139"/>
      <c r="H606" s="139"/>
      <c r="I606" s="139"/>
      <c r="J606" s="139"/>
      <c r="K606" s="149"/>
      <c r="L606" s="164"/>
      <c r="M606" s="164"/>
      <c r="N606" s="165"/>
      <c r="O606" s="153"/>
      <c r="P606" s="153"/>
      <c r="Q606" s="154"/>
    </row>
    <row r="607" spans="1:17" s="44" customFormat="1" ht="30" customHeight="1" x14ac:dyDescent="0.35">
      <c r="A607" s="139" t="s">
        <v>519</v>
      </c>
      <c r="B607" s="139"/>
      <c r="C607" s="148"/>
      <c r="D607" s="148"/>
      <c r="E607" s="148"/>
      <c r="F607" s="148"/>
      <c r="G607" s="139"/>
      <c r="H607" s="139"/>
      <c r="I607" s="139"/>
      <c r="J607" s="139"/>
      <c r="K607" s="149"/>
      <c r="L607" s="164"/>
      <c r="M607" s="164"/>
      <c r="N607" s="165"/>
      <c r="O607" s="153"/>
      <c r="P607" s="153"/>
      <c r="Q607" s="154"/>
    </row>
    <row r="608" spans="1:17" s="44" customFormat="1" ht="30" customHeight="1" x14ac:dyDescent="0.35">
      <c r="A608" s="139" t="s">
        <v>520</v>
      </c>
      <c r="B608" s="139"/>
      <c r="C608" s="148"/>
      <c r="D608" s="148"/>
      <c r="E608" s="148"/>
      <c r="F608" s="148"/>
      <c r="G608" s="139"/>
      <c r="H608" s="139"/>
      <c r="I608" s="139"/>
      <c r="J608" s="139"/>
      <c r="K608" s="149"/>
      <c r="L608" s="150"/>
      <c r="M608" s="150"/>
      <c r="N608" s="151"/>
      <c r="O608" s="153"/>
      <c r="P608" s="153"/>
      <c r="Q608" s="154"/>
    </row>
    <row r="609" spans="1:17" s="44" customFormat="1" ht="30" customHeight="1" x14ac:dyDescent="0.35">
      <c r="A609" s="148" t="s">
        <v>521</v>
      </c>
      <c r="B609" s="148"/>
      <c r="C609" s="148"/>
      <c r="D609" s="148"/>
      <c r="E609" s="148"/>
      <c r="F609" s="148"/>
      <c r="G609" s="139"/>
      <c r="H609" s="139"/>
      <c r="I609" s="139"/>
      <c r="J609" s="139"/>
      <c r="K609" s="149"/>
      <c r="L609" s="150"/>
      <c r="M609" s="150"/>
      <c r="N609" s="151"/>
      <c r="O609" s="153"/>
      <c r="P609" s="153"/>
      <c r="Q609" s="154"/>
    </row>
    <row r="610" spans="1:17" s="44" customFormat="1" ht="30" customHeight="1" x14ac:dyDescent="0.35">
      <c r="A610" s="143" t="s">
        <v>522</v>
      </c>
      <c r="B610" s="144"/>
      <c r="C610" s="144"/>
      <c r="D610" s="144"/>
      <c r="E610" s="144"/>
      <c r="F610" s="145"/>
      <c r="G610" s="143"/>
      <c r="H610" s="143"/>
      <c r="I610" s="143"/>
      <c r="J610" s="143"/>
      <c r="K610" s="143"/>
      <c r="L610" s="143"/>
      <c r="M610" s="143"/>
      <c r="N610" s="143"/>
      <c r="O610" s="143"/>
      <c r="P610" s="143"/>
      <c r="Q610" s="143"/>
    </row>
    <row r="611" spans="1:17" s="44" customFormat="1" ht="30" customHeight="1" x14ac:dyDescent="0.35">
      <c r="A611" s="148" t="s">
        <v>523</v>
      </c>
      <c r="B611" s="148"/>
      <c r="C611" s="148"/>
      <c r="D611" s="148"/>
      <c r="E611" s="148"/>
      <c r="F611" s="148"/>
      <c r="G611" s="139"/>
      <c r="H611" s="139"/>
      <c r="I611" s="139"/>
      <c r="J611" s="139"/>
      <c r="K611" s="149"/>
      <c r="L611" s="150"/>
      <c r="M611" s="150"/>
      <c r="N611" s="151"/>
      <c r="O611" s="153"/>
      <c r="P611" s="153"/>
      <c r="Q611" s="154"/>
    </row>
    <row r="612" spans="1:17" s="44" customFormat="1" ht="30" customHeight="1" x14ac:dyDescent="0.35">
      <c r="A612" s="148" t="s">
        <v>524</v>
      </c>
      <c r="B612" s="148"/>
      <c r="C612" s="148"/>
      <c r="D612" s="148"/>
      <c r="E612" s="148"/>
      <c r="F612" s="148"/>
      <c r="G612" s="139"/>
      <c r="H612" s="139"/>
      <c r="I612" s="139"/>
      <c r="J612" s="139"/>
      <c r="K612" s="149"/>
      <c r="L612" s="150"/>
      <c r="M612" s="150"/>
      <c r="N612" s="151"/>
      <c r="O612" s="153"/>
      <c r="P612" s="153"/>
      <c r="Q612" s="154"/>
    </row>
    <row r="613" spans="1:17" s="44" customFormat="1" ht="30" customHeight="1" x14ac:dyDescent="0.35">
      <c r="A613" s="148" t="s">
        <v>525</v>
      </c>
      <c r="B613" s="148"/>
      <c r="C613" s="148"/>
      <c r="D613" s="148"/>
      <c r="E613" s="148"/>
      <c r="F613" s="148"/>
      <c r="G613" s="139"/>
      <c r="H613" s="139"/>
      <c r="I613" s="139"/>
      <c r="J613" s="139"/>
      <c r="K613" s="149"/>
      <c r="L613" s="150"/>
      <c r="M613" s="150"/>
      <c r="N613" s="151"/>
      <c r="O613" s="153"/>
      <c r="P613" s="153"/>
      <c r="Q613" s="154"/>
    </row>
    <row r="614" spans="1:17" s="44" customFormat="1" ht="30" customHeight="1" x14ac:dyDescent="0.35">
      <c r="A614" s="148" t="s">
        <v>526</v>
      </c>
      <c r="B614" s="148"/>
      <c r="C614" s="148"/>
      <c r="D614" s="148"/>
      <c r="E614" s="148"/>
      <c r="F614" s="148"/>
      <c r="G614" s="139"/>
      <c r="H614" s="139"/>
      <c r="I614" s="139"/>
      <c r="J614" s="139"/>
      <c r="K614" s="149"/>
      <c r="L614" s="150"/>
      <c r="M614" s="150"/>
      <c r="N614" s="151"/>
      <c r="O614" s="153"/>
      <c r="P614" s="153"/>
      <c r="Q614" s="154"/>
    </row>
    <row r="615" spans="1:17" s="44" customFormat="1" ht="30" customHeight="1" x14ac:dyDescent="0.35">
      <c r="A615" s="143" t="s">
        <v>527</v>
      </c>
      <c r="B615" s="144"/>
      <c r="C615" s="144"/>
      <c r="D615" s="144"/>
      <c r="E615" s="144"/>
      <c r="F615" s="145"/>
      <c r="G615" s="143"/>
      <c r="H615" s="143"/>
      <c r="I615" s="143"/>
      <c r="J615" s="143"/>
      <c r="K615" s="143"/>
      <c r="L615" s="143"/>
      <c r="M615" s="143"/>
      <c r="N615" s="143"/>
      <c r="O615" s="143"/>
      <c r="P615" s="143"/>
      <c r="Q615" s="143"/>
    </row>
    <row r="616" spans="1:17" s="44" customFormat="1" ht="30" customHeight="1" x14ac:dyDescent="0.35">
      <c r="A616" s="148" t="s">
        <v>528</v>
      </c>
      <c r="B616" s="148"/>
      <c r="C616" s="148"/>
      <c r="D616" s="148"/>
      <c r="E616" s="148"/>
      <c r="F616" s="148"/>
      <c r="G616" s="139"/>
      <c r="H616" s="139"/>
      <c r="I616" s="139"/>
      <c r="J616" s="139"/>
      <c r="K616" s="149"/>
      <c r="L616" s="150"/>
      <c r="M616" s="150"/>
      <c r="N616" s="151"/>
      <c r="O616" s="152"/>
      <c r="P616" s="153"/>
      <c r="Q616" s="154"/>
    </row>
    <row r="617" spans="1:17" s="44" customFormat="1" ht="30" customHeight="1" x14ac:dyDescent="0.35">
      <c r="A617" s="143" t="s">
        <v>529</v>
      </c>
      <c r="B617" s="144"/>
      <c r="C617" s="144"/>
      <c r="D617" s="144"/>
      <c r="E617" s="144"/>
      <c r="F617" s="145"/>
      <c r="G617" s="143"/>
      <c r="H617" s="143"/>
      <c r="I617" s="143"/>
      <c r="J617" s="143"/>
      <c r="K617" s="143"/>
      <c r="L617" s="143"/>
      <c r="M617" s="143"/>
      <c r="N617" s="143"/>
      <c r="O617" s="143"/>
      <c r="P617" s="143"/>
      <c r="Q617" s="143"/>
    </row>
    <row r="618" spans="1:17" s="44" customFormat="1" ht="30" customHeight="1" x14ac:dyDescent="0.35">
      <c r="A618" s="143" t="s">
        <v>530</v>
      </c>
      <c r="B618" s="144"/>
      <c r="C618" s="144"/>
      <c r="D618" s="144"/>
      <c r="E618" s="144"/>
      <c r="F618" s="145"/>
      <c r="G618" s="143"/>
      <c r="H618" s="143"/>
      <c r="I618" s="143"/>
      <c r="J618" s="143"/>
      <c r="K618" s="143"/>
      <c r="L618" s="143"/>
      <c r="M618" s="143"/>
      <c r="N618" s="143"/>
      <c r="O618" s="143"/>
      <c r="P618" s="143"/>
      <c r="Q618" s="143"/>
    </row>
    <row r="619" spans="1:17" s="44" customFormat="1" ht="30" customHeight="1" x14ac:dyDescent="0.35">
      <c r="A619" s="148" t="s">
        <v>531</v>
      </c>
      <c r="B619" s="148"/>
      <c r="C619" s="148"/>
      <c r="D619" s="148"/>
      <c r="E619" s="148"/>
      <c r="F619" s="157"/>
      <c r="G619" s="142"/>
      <c r="H619" s="142"/>
      <c r="I619" s="142"/>
      <c r="J619" s="142"/>
      <c r="K619" s="142"/>
      <c r="L619" s="142"/>
      <c r="M619" s="142"/>
      <c r="N619" s="142"/>
      <c r="O619" s="142"/>
      <c r="P619" s="142"/>
      <c r="Q619" s="142"/>
    </row>
    <row r="620" spans="1:17" s="44" customFormat="1" ht="30" customHeight="1" x14ac:dyDescent="0.35">
      <c r="A620" s="148" t="s">
        <v>532</v>
      </c>
      <c r="B620" s="148"/>
      <c r="C620" s="148"/>
      <c r="D620" s="148"/>
      <c r="E620" s="148"/>
      <c r="F620" s="157"/>
      <c r="G620" s="142"/>
      <c r="H620" s="142"/>
      <c r="I620" s="142"/>
      <c r="J620" s="142"/>
      <c r="K620" s="142"/>
      <c r="L620" s="142"/>
      <c r="M620" s="142"/>
      <c r="N620" s="142"/>
      <c r="O620" s="142"/>
      <c r="P620" s="142"/>
      <c r="Q620" s="142"/>
    </row>
    <row r="621" spans="1:17" s="44" customFormat="1" ht="30" customHeight="1" x14ac:dyDescent="0.35">
      <c r="A621" s="148" t="s">
        <v>533</v>
      </c>
      <c r="B621" s="148"/>
      <c r="C621" s="148"/>
      <c r="D621" s="148"/>
      <c r="E621" s="148"/>
      <c r="F621" s="157"/>
      <c r="G621" s="142"/>
      <c r="H621" s="142"/>
      <c r="I621" s="142"/>
      <c r="J621" s="142"/>
      <c r="K621" s="142"/>
      <c r="L621" s="142"/>
      <c r="M621" s="142"/>
      <c r="N621" s="142"/>
      <c r="O621" s="142"/>
      <c r="P621" s="142"/>
      <c r="Q621" s="142"/>
    </row>
    <row r="622" spans="1:17" s="44" customFormat="1" ht="30" customHeight="1" x14ac:dyDescent="0.35">
      <c r="A622" s="143" t="s">
        <v>534</v>
      </c>
      <c r="B622" s="144"/>
      <c r="C622" s="144"/>
      <c r="D622" s="144"/>
      <c r="E622" s="144"/>
      <c r="F622" s="145"/>
      <c r="G622" s="143"/>
      <c r="H622" s="143"/>
      <c r="I622" s="143"/>
      <c r="J622" s="143"/>
      <c r="K622" s="143"/>
      <c r="L622" s="143"/>
      <c r="M622" s="143"/>
      <c r="N622" s="143"/>
      <c r="O622" s="143"/>
      <c r="P622" s="143"/>
      <c r="Q622" s="143"/>
    </row>
    <row r="623" spans="1:17" s="44" customFormat="1" ht="30" customHeight="1" x14ac:dyDescent="0.35">
      <c r="A623" s="148" t="s">
        <v>535</v>
      </c>
      <c r="B623" s="148"/>
      <c r="C623" s="148"/>
      <c r="D623" s="148"/>
      <c r="E623" s="148"/>
      <c r="F623" s="157"/>
      <c r="G623" s="142"/>
      <c r="H623" s="142"/>
      <c r="I623" s="142"/>
      <c r="J623" s="142"/>
      <c r="K623" s="142"/>
      <c r="L623" s="142"/>
      <c r="M623" s="142"/>
      <c r="N623" s="142"/>
      <c r="O623" s="142"/>
      <c r="P623" s="142"/>
      <c r="Q623" s="142"/>
    </row>
    <row r="624" spans="1:17" s="44" customFormat="1" ht="30" customHeight="1" x14ac:dyDescent="0.35">
      <c r="A624" s="148" t="s">
        <v>536</v>
      </c>
      <c r="B624" s="148"/>
      <c r="C624" s="148"/>
      <c r="D624" s="148"/>
      <c r="E624" s="148"/>
      <c r="F624" s="157"/>
      <c r="G624" s="142"/>
      <c r="H624" s="142"/>
      <c r="I624" s="142"/>
      <c r="J624" s="142"/>
      <c r="K624" s="142"/>
      <c r="L624" s="142"/>
      <c r="M624" s="142"/>
      <c r="N624" s="142"/>
      <c r="O624" s="142"/>
      <c r="P624" s="142"/>
      <c r="Q624" s="142"/>
    </row>
    <row r="625" spans="1:17" s="44" customFormat="1" ht="30" customHeight="1" x14ac:dyDescent="0.35">
      <c r="A625" s="148" t="s">
        <v>537</v>
      </c>
      <c r="B625" s="148"/>
      <c r="C625" s="148"/>
      <c r="D625" s="148"/>
      <c r="E625" s="148"/>
      <c r="F625" s="157"/>
      <c r="G625" s="142"/>
      <c r="H625" s="142"/>
      <c r="I625" s="142"/>
      <c r="J625" s="142"/>
      <c r="K625" s="142"/>
      <c r="L625" s="142"/>
      <c r="M625" s="142"/>
      <c r="N625" s="142"/>
      <c r="O625" s="142"/>
      <c r="P625" s="142"/>
      <c r="Q625" s="142"/>
    </row>
    <row r="626" spans="1:17" s="44" customFormat="1" ht="30" customHeight="1" x14ac:dyDescent="0.35">
      <c r="A626" s="143" t="s">
        <v>538</v>
      </c>
      <c r="B626" s="144"/>
      <c r="C626" s="144"/>
      <c r="D626" s="144"/>
      <c r="E626" s="144"/>
      <c r="F626" s="145"/>
      <c r="G626" s="143"/>
      <c r="H626" s="143"/>
      <c r="I626" s="143"/>
      <c r="J626" s="143"/>
      <c r="K626" s="143"/>
      <c r="L626" s="143"/>
      <c r="M626" s="143"/>
      <c r="N626" s="143"/>
      <c r="O626" s="143"/>
      <c r="P626" s="143"/>
      <c r="Q626" s="143"/>
    </row>
    <row r="627" spans="1:17" s="44" customFormat="1" ht="30" customHeight="1" x14ac:dyDescent="0.35">
      <c r="A627" s="148" t="s">
        <v>539</v>
      </c>
      <c r="B627" s="148"/>
      <c r="C627" s="148"/>
      <c r="D627" s="148"/>
      <c r="E627" s="148"/>
      <c r="F627" s="157"/>
      <c r="G627" s="142"/>
      <c r="H627" s="142"/>
      <c r="I627" s="142"/>
      <c r="J627" s="142"/>
      <c r="K627" s="142"/>
      <c r="L627" s="142"/>
      <c r="M627" s="142"/>
      <c r="N627" s="142"/>
      <c r="O627" s="142"/>
      <c r="P627" s="142"/>
      <c r="Q627" s="142"/>
    </row>
    <row r="628" spans="1:17" s="44" customFormat="1" ht="30" customHeight="1" x14ac:dyDescent="0.35">
      <c r="A628" s="148" t="s">
        <v>540</v>
      </c>
      <c r="B628" s="148"/>
      <c r="C628" s="148"/>
      <c r="D628" s="148"/>
      <c r="E628" s="148"/>
      <c r="F628" s="157"/>
      <c r="G628" s="142"/>
      <c r="H628" s="142"/>
      <c r="I628" s="142"/>
      <c r="J628" s="142"/>
      <c r="K628" s="142"/>
      <c r="L628" s="142"/>
      <c r="M628" s="142"/>
      <c r="N628" s="142"/>
      <c r="O628" s="142"/>
      <c r="P628" s="142"/>
      <c r="Q628" s="142"/>
    </row>
    <row r="629" spans="1:17" s="166" customFormat="1" ht="30" customHeight="1" x14ac:dyDescent="0.35">
      <c r="A629" s="143" t="s">
        <v>541</v>
      </c>
      <c r="B629" s="144"/>
      <c r="C629" s="144"/>
      <c r="D629" s="144"/>
      <c r="E629" s="144"/>
      <c r="F629" s="145"/>
      <c r="G629" s="143"/>
      <c r="H629" s="143"/>
      <c r="I629" s="143"/>
      <c r="J629" s="143"/>
      <c r="K629" s="143"/>
      <c r="L629" s="143"/>
      <c r="M629" s="143"/>
      <c r="N629" s="143"/>
      <c r="O629" s="143"/>
      <c r="P629" s="143"/>
      <c r="Q629" s="143"/>
    </row>
    <row r="630" spans="1:17" s="166" customFormat="1" ht="30" customHeight="1" x14ac:dyDescent="0.35">
      <c r="A630" s="148" t="s">
        <v>542</v>
      </c>
      <c r="B630" s="148"/>
      <c r="C630" s="148"/>
      <c r="D630" s="148"/>
      <c r="E630" s="148"/>
      <c r="F630" s="15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</row>
    <row r="631" spans="1:17" s="166" customFormat="1" ht="30" customHeight="1" x14ac:dyDescent="0.35">
      <c r="A631" s="148" t="s">
        <v>543</v>
      </c>
      <c r="B631" s="148"/>
      <c r="C631" s="148"/>
      <c r="D631" s="148"/>
      <c r="E631" s="148"/>
      <c r="F631" s="15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</row>
    <row r="632" spans="1:17" s="166" customFormat="1" ht="30" customHeight="1" x14ac:dyDescent="0.35">
      <c r="A632" s="148" t="s">
        <v>544</v>
      </c>
      <c r="B632" s="148"/>
      <c r="C632" s="148"/>
      <c r="D632" s="148"/>
      <c r="E632" s="148"/>
      <c r="F632" s="15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</row>
    <row r="633" spans="1:17" s="166" customFormat="1" ht="30" customHeight="1" x14ac:dyDescent="0.35">
      <c r="A633" s="148" t="s">
        <v>545</v>
      </c>
      <c r="B633" s="148"/>
      <c r="C633" s="148"/>
      <c r="D633" s="148"/>
      <c r="E633" s="148"/>
      <c r="F633" s="15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</row>
    <row r="634" spans="1:17" s="166" customFormat="1" ht="30" customHeight="1" x14ac:dyDescent="0.35">
      <c r="A634" s="148" t="s">
        <v>546</v>
      </c>
      <c r="B634" s="148"/>
      <c r="C634" s="148"/>
      <c r="D634" s="148"/>
      <c r="E634" s="148"/>
      <c r="F634" s="15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</row>
    <row r="635" spans="1:17" s="168" customFormat="1" ht="30" customHeight="1" x14ac:dyDescent="0.35">
      <c r="A635" s="143" t="s">
        <v>547</v>
      </c>
      <c r="B635" s="144"/>
      <c r="C635" s="144"/>
      <c r="D635" s="144"/>
      <c r="E635" s="144"/>
      <c r="F635" s="145"/>
      <c r="G635" s="143"/>
      <c r="H635" s="143"/>
      <c r="I635" s="143"/>
      <c r="J635" s="143"/>
      <c r="K635" s="143"/>
      <c r="L635" s="143"/>
      <c r="M635" s="143"/>
      <c r="N635" s="143"/>
      <c r="O635" s="143"/>
      <c r="P635" s="143"/>
      <c r="Q635" s="143"/>
    </row>
    <row r="636" spans="1:17" s="168" customFormat="1" ht="30" customHeight="1" x14ac:dyDescent="0.35">
      <c r="A636" s="148" t="s">
        <v>548</v>
      </c>
      <c r="B636" s="148"/>
      <c r="C636" s="148"/>
      <c r="D636" s="148"/>
      <c r="E636" s="148"/>
      <c r="F636" s="15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</row>
    <row r="637" spans="1:17" s="168" customFormat="1" ht="30" customHeight="1" x14ac:dyDescent="0.35">
      <c r="A637" s="148" t="s">
        <v>549</v>
      </c>
      <c r="B637" s="148"/>
      <c r="C637" s="148"/>
      <c r="D637" s="148"/>
      <c r="E637" s="148"/>
      <c r="F637" s="15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</row>
    <row r="638" spans="1:17" s="44" customFormat="1" ht="30" customHeight="1" x14ac:dyDescent="0.35">
      <c r="A638" s="143" t="s">
        <v>550</v>
      </c>
      <c r="B638" s="144"/>
      <c r="C638" s="144"/>
      <c r="D638" s="144"/>
      <c r="E638" s="144"/>
      <c r="F638" s="145"/>
      <c r="G638" s="143"/>
      <c r="H638" s="143"/>
      <c r="I638" s="143"/>
      <c r="J638" s="143"/>
      <c r="K638" s="143"/>
      <c r="L638" s="143"/>
      <c r="M638" s="143"/>
      <c r="N638" s="143"/>
      <c r="O638" s="143"/>
      <c r="P638" s="143"/>
      <c r="Q638" s="143"/>
    </row>
    <row r="639" spans="1:17" s="44" customFormat="1" ht="30" customHeight="1" x14ac:dyDescent="0.35">
      <c r="A639" s="148" t="s">
        <v>551</v>
      </c>
      <c r="B639" s="148"/>
      <c r="C639" s="148"/>
      <c r="D639" s="148"/>
      <c r="E639" s="148"/>
      <c r="F639" s="15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</row>
    <row r="640" spans="1:17" s="44" customFormat="1" ht="30" customHeight="1" x14ac:dyDescent="0.35">
      <c r="A640" s="143" t="s">
        <v>552</v>
      </c>
      <c r="B640" s="144"/>
      <c r="C640" s="144"/>
      <c r="D640" s="144"/>
      <c r="E640" s="144"/>
      <c r="F640" s="145"/>
      <c r="G640" s="143"/>
      <c r="H640" s="143"/>
      <c r="I640" s="143"/>
      <c r="J640" s="143"/>
      <c r="K640" s="143"/>
      <c r="L640" s="143"/>
      <c r="M640" s="143"/>
      <c r="N640" s="143"/>
      <c r="O640" s="143"/>
      <c r="P640" s="143"/>
      <c r="Q640" s="143"/>
    </row>
    <row r="641" spans="1:17" s="44" customFormat="1" ht="30" customHeight="1" x14ac:dyDescent="0.35">
      <c r="A641" s="169" t="s">
        <v>553</v>
      </c>
      <c r="B641" s="148"/>
      <c r="C641" s="148"/>
      <c r="D641" s="148"/>
      <c r="E641" s="148"/>
      <c r="F641" s="15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</row>
    <row r="642" spans="1:17" s="44" customFormat="1" ht="30" customHeight="1" x14ac:dyDescent="0.35">
      <c r="A642" s="169" t="s">
        <v>554</v>
      </c>
      <c r="B642" s="148"/>
      <c r="C642" s="148"/>
      <c r="D642" s="148"/>
      <c r="E642" s="148"/>
      <c r="F642" s="15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</row>
    <row r="643" spans="1:17" s="44" customFormat="1" ht="30" customHeight="1" x14ac:dyDescent="0.35">
      <c r="A643" s="143" t="s">
        <v>555</v>
      </c>
      <c r="B643" s="144"/>
      <c r="C643" s="144"/>
      <c r="D643" s="144"/>
      <c r="E643" s="144"/>
      <c r="F643" s="145"/>
      <c r="G643" s="143"/>
      <c r="H643" s="143"/>
      <c r="I643" s="143"/>
      <c r="J643" s="143"/>
      <c r="K643" s="143"/>
      <c r="L643" s="143"/>
      <c r="M643" s="143"/>
      <c r="N643" s="143"/>
      <c r="O643" s="143"/>
      <c r="P643" s="143"/>
      <c r="Q643" s="143"/>
    </row>
    <row r="644" spans="1:17" s="44" customFormat="1" ht="30" customHeight="1" x14ac:dyDescent="0.35">
      <c r="A644" s="169" t="s">
        <v>556</v>
      </c>
      <c r="B644" s="148"/>
      <c r="C644" s="148"/>
      <c r="D644" s="148"/>
      <c r="E644" s="148"/>
      <c r="F644" s="15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</row>
    <row r="645" spans="1:17" s="44" customFormat="1" ht="30" customHeight="1" x14ac:dyDescent="0.35">
      <c r="A645" s="169" t="s">
        <v>557</v>
      </c>
      <c r="B645" s="148"/>
      <c r="C645" s="148"/>
      <c r="D645" s="148"/>
      <c r="E645" s="148"/>
      <c r="F645" s="15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  <c r="Q645" s="167"/>
    </row>
    <row r="646" spans="1:17" s="44" customFormat="1" ht="30" customHeight="1" x14ac:dyDescent="0.35">
      <c r="A646" s="169" t="s">
        <v>558</v>
      </c>
      <c r="B646" s="148"/>
      <c r="C646" s="148"/>
      <c r="D646" s="148"/>
      <c r="E646" s="148"/>
      <c r="F646" s="15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</row>
    <row r="647" spans="1:17" s="44" customFormat="1" ht="30" customHeight="1" x14ac:dyDescent="0.35">
      <c r="A647" s="169" t="s">
        <v>559</v>
      </c>
      <c r="B647" s="148"/>
      <c r="C647" s="148"/>
      <c r="D647" s="148"/>
      <c r="E647" s="148"/>
      <c r="F647" s="15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</row>
    <row r="648" spans="1:17" s="44" customFormat="1" ht="30" customHeight="1" x14ac:dyDescent="0.35">
      <c r="A648" s="169" t="s">
        <v>560</v>
      </c>
      <c r="B648" s="148"/>
      <c r="C648" s="148"/>
      <c r="D648" s="148"/>
      <c r="E648" s="148"/>
      <c r="F648" s="15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</row>
    <row r="649" spans="1:17" s="44" customFormat="1" ht="30" customHeight="1" x14ac:dyDescent="0.35">
      <c r="A649" s="169" t="s">
        <v>561</v>
      </c>
      <c r="B649" s="148"/>
      <c r="C649" s="148"/>
      <c r="D649" s="148"/>
      <c r="E649" s="148"/>
      <c r="F649" s="15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</row>
    <row r="650" spans="1:17" s="44" customFormat="1" ht="30" customHeight="1" x14ac:dyDescent="0.35">
      <c r="A650" s="169" t="s">
        <v>562</v>
      </c>
      <c r="B650" s="148"/>
      <c r="C650" s="148"/>
      <c r="D650" s="148"/>
      <c r="E650" s="148"/>
      <c r="F650" s="15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</row>
    <row r="651" spans="1:17" s="44" customFormat="1" ht="30" customHeight="1" x14ac:dyDescent="0.35">
      <c r="A651" s="169" t="s">
        <v>563</v>
      </c>
      <c r="B651" s="148"/>
      <c r="C651" s="148"/>
      <c r="D651" s="148"/>
      <c r="E651" s="148"/>
      <c r="F651" s="15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</row>
    <row r="652" spans="1:17" s="44" customFormat="1" ht="30" customHeight="1" x14ac:dyDescent="0.35">
      <c r="A652" s="169" t="s">
        <v>564</v>
      </c>
      <c r="B652" s="148"/>
      <c r="C652" s="148"/>
      <c r="D652" s="148"/>
      <c r="E652" s="148"/>
      <c r="F652" s="15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</row>
    <row r="653" spans="1:17" s="44" customFormat="1" ht="30" customHeight="1" x14ac:dyDescent="0.35">
      <c r="A653" s="169" t="s">
        <v>565</v>
      </c>
      <c r="B653" s="148"/>
      <c r="C653" s="148"/>
      <c r="D653" s="148"/>
      <c r="E653" s="148"/>
      <c r="F653" s="15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</row>
    <row r="654" spans="1:17" s="44" customFormat="1" ht="30" customHeight="1" x14ac:dyDescent="0.35">
      <c r="A654" s="169" t="s">
        <v>566</v>
      </c>
      <c r="B654" s="148"/>
      <c r="C654" s="148"/>
      <c r="D654" s="148"/>
      <c r="E654" s="148"/>
      <c r="F654" s="15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</row>
    <row r="655" spans="1:17" s="44" customFormat="1" ht="30" customHeight="1" x14ac:dyDescent="0.35">
      <c r="A655" s="169" t="s">
        <v>567</v>
      </c>
      <c r="B655" s="148"/>
      <c r="C655" s="148"/>
      <c r="D655" s="148"/>
      <c r="E655" s="148"/>
      <c r="F655" s="15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</row>
    <row r="656" spans="1:17" s="44" customFormat="1" ht="30" customHeight="1" x14ac:dyDescent="0.35">
      <c r="A656" s="169" t="s">
        <v>568</v>
      </c>
      <c r="B656" s="148"/>
      <c r="C656" s="148"/>
      <c r="D656" s="148"/>
      <c r="E656" s="148"/>
      <c r="F656" s="15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</row>
    <row r="657" spans="1:17" s="44" customFormat="1" ht="30" customHeight="1" x14ac:dyDescent="0.35">
      <c r="A657" s="169" t="s">
        <v>569</v>
      </c>
      <c r="B657" s="148"/>
      <c r="C657" s="148"/>
      <c r="D657" s="148"/>
      <c r="E657" s="148"/>
      <c r="F657" s="15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</row>
    <row r="658" spans="1:17" s="44" customFormat="1" ht="30" customHeight="1" x14ac:dyDescent="0.35">
      <c r="A658" s="169" t="s">
        <v>570</v>
      </c>
      <c r="B658" s="148"/>
      <c r="C658" s="148"/>
      <c r="D658" s="148"/>
      <c r="E658" s="148"/>
      <c r="F658" s="15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</row>
    <row r="659" spans="1:17" s="44" customFormat="1" ht="30" customHeight="1" x14ac:dyDescent="0.35">
      <c r="A659" s="169" t="s">
        <v>571</v>
      </c>
      <c r="B659" s="148"/>
      <c r="C659" s="148"/>
      <c r="D659" s="148"/>
      <c r="E659" s="148"/>
      <c r="F659" s="15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</row>
    <row r="660" spans="1:17" s="44" customFormat="1" ht="30" customHeight="1" x14ac:dyDescent="0.35">
      <c r="A660" s="169" t="s">
        <v>572</v>
      </c>
      <c r="B660" s="148"/>
      <c r="C660" s="148"/>
      <c r="D660" s="148"/>
      <c r="E660" s="148"/>
      <c r="F660" s="15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</row>
    <row r="661" spans="1:17" s="44" customFormat="1" ht="30" customHeight="1" x14ac:dyDescent="0.35">
      <c r="A661" s="169" t="s">
        <v>573</v>
      </c>
      <c r="B661" s="148"/>
      <c r="C661" s="148"/>
      <c r="D661" s="148"/>
      <c r="E661" s="148"/>
      <c r="F661" s="15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</row>
    <row r="662" spans="1:17" s="44" customFormat="1" ht="30" customHeight="1" x14ac:dyDescent="0.35">
      <c r="A662" s="169" t="s">
        <v>574</v>
      </c>
      <c r="B662" s="148"/>
      <c r="C662" s="148"/>
      <c r="D662" s="148"/>
      <c r="E662" s="148"/>
      <c r="F662" s="15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</row>
    <row r="663" spans="1:17" s="44" customFormat="1" ht="30" customHeight="1" x14ac:dyDescent="0.35">
      <c r="A663" s="169" t="s">
        <v>575</v>
      </c>
      <c r="B663" s="148"/>
      <c r="C663" s="148"/>
      <c r="D663" s="148"/>
      <c r="E663" s="148"/>
      <c r="F663" s="15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</row>
    <row r="664" spans="1:17" s="44" customFormat="1" ht="30" customHeight="1" x14ac:dyDescent="0.35">
      <c r="A664" s="169" t="s">
        <v>576</v>
      </c>
      <c r="B664" s="148"/>
      <c r="C664" s="148"/>
      <c r="D664" s="148"/>
      <c r="E664" s="148"/>
      <c r="F664" s="15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</row>
    <row r="665" spans="1:17" s="44" customFormat="1" ht="30" customHeight="1" x14ac:dyDescent="0.35">
      <c r="A665" s="169" t="s">
        <v>577</v>
      </c>
      <c r="B665" s="148"/>
      <c r="C665" s="148"/>
      <c r="D665" s="148"/>
      <c r="E665" s="148"/>
      <c r="F665" s="15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</row>
    <row r="666" spans="1:17" s="44" customFormat="1" ht="30" customHeight="1" x14ac:dyDescent="0.35">
      <c r="A666" s="169" t="s">
        <v>578</v>
      </c>
      <c r="B666" s="148"/>
      <c r="C666" s="148"/>
      <c r="D666" s="148"/>
      <c r="E666" s="148"/>
      <c r="F666" s="15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</row>
    <row r="667" spans="1:17" s="44" customFormat="1" ht="30" customHeight="1" x14ac:dyDescent="0.35">
      <c r="A667" s="169" t="s">
        <v>579</v>
      </c>
      <c r="B667" s="148"/>
      <c r="C667" s="148"/>
      <c r="D667" s="148"/>
      <c r="E667" s="148"/>
      <c r="F667" s="15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</row>
    <row r="668" spans="1:17" s="44" customFormat="1" ht="30" customHeight="1" x14ac:dyDescent="0.35">
      <c r="A668" s="169" t="s">
        <v>580</v>
      </c>
      <c r="B668" s="148"/>
      <c r="C668" s="148"/>
      <c r="D668" s="148"/>
      <c r="E668" s="148"/>
      <c r="F668" s="15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</row>
    <row r="669" spans="1:17" s="44" customFormat="1" ht="30" customHeight="1" x14ac:dyDescent="0.35">
      <c r="A669" s="169" t="s">
        <v>581</v>
      </c>
      <c r="B669" s="148"/>
      <c r="C669" s="148"/>
      <c r="D669" s="148"/>
      <c r="E669" s="148"/>
      <c r="F669" s="15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</row>
    <row r="670" spans="1:17" s="44" customFormat="1" ht="30" customHeight="1" x14ac:dyDescent="0.35">
      <c r="A670" s="169" t="s">
        <v>582</v>
      </c>
      <c r="B670" s="148"/>
      <c r="C670" s="148"/>
      <c r="D670" s="148"/>
      <c r="E670" s="148"/>
      <c r="F670" s="15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</row>
    <row r="671" spans="1:17" s="44" customFormat="1" ht="30" customHeight="1" x14ac:dyDescent="0.35">
      <c r="A671" s="169" t="s">
        <v>583</v>
      </c>
      <c r="B671" s="148"/>
      <c r="C671" s="148"/>
      <c r="D671" s="148"/>
      <c r="E671" s="148"/>
      <c r="F671" s="15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</row>
    <row r="672" spans="1:17" s="44" customFormat="1" ht="30" customHeight="1" x14ac:dyDescent="0.35">
      <c r="A672" s="169" t="s">
        <v>584</v>
      </c>
      <c r="B672" s="148"/>
      <c r="C672" s="148"/>
      <c r="D672" s="148"/>
      <c r="E672" s="148"/>
      <c r="F672" s="15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</row>
    <row r="673" spans="1:17" s="44" customFormat="1" ht="30" customHeight="1" x14ac:dyDescent="0.35">
      <c r="A673" s="169" t="s">
        <v>585</v>
      </c>
      <c r="B673" s="148"/>
      <c r="C673" s="148"/>
      <c r="D673" s="148"/>
      <c r="E673" s="148"/>
      <c r="F673" s="15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</row>
    <row r="674" spans="1:17" s="44" customFormat="1" ht="30" customHeight="1" x14ac:dyDescent="0.35">
      <c r="A674" s="169" t="s">
        <v>586</v>
      </c>
      <c r="B674" s="148"/>
      <c r="C674" s="148"/>
      <c r="D674" s="148"/>
      <c r="E674" s="148"/>
      <c r="F674" s="15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</row>
    <row r="675" spans="1:17" s="44" customFormat="1" ht="30" customHeight="1" x14ac:dyDescent="0.35">
      <c r="A675" s="169" t="s">
        <v>587</v>
      </c>
      <c r="B675" s="148"/>
      <c r="C675" s="148"/>
      <c r="D675" s="148"/>
      <c r="E675" s="148"/>
      <c r="F675" s="15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</row>
    <row r="676" spans="1:17" s="44" customFormat="1" ht="30" customHeight="1" x14ac:dyDescent="0.35">
      <c r="A676" s="169" t="s">
        <v>588</v>
      </c>
      <c r="B676" s="148"/>
      <c r="C676" s="148"/>
      <c r="D676" s="148"/>
      <c r="E676" s="148"/>
      <c r="F676" s="15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</row>
    <row r="677" spans="1:17" s="44" customFormat="1" ht="30" customHeight="1" x14ac:dyDescent="0.35">
      <c r="A677" s="169" t="s">
        <v>589</v>
      </c>
      <c r="B677" s="148"/>
      <c r="C677" s="148"/>
      <c r="D677" s="148"/>
      <c r="E677" s="148"/>
      <c r="F677" s="15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</row>
    <row r="678" spans="1:17" s="44" customFormat="1" ht="30" customHeight="1" x14ac:dyDescent="0.35">
      <c r="A678" s="169" t="s">
        <v>590</v>
      </c>
      <c r="B678" s="148"/>
      <c r="C678" s="148"/>
      <c r="D678" s="148"/>
      <c r="E678" s="148"/>
      <c r="F678" s="15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</row>
    <row r="679" spans="1:17" s="44" customFormat="1" ht="30" customHeight="1" x14ac:dyDescent="0.35">
      <c r="A679" s="169" t="s">
        <v>591</v>
      </c>
      <c r="B679" s="148"/>
      <c r="C679" s="148"/>
      <c r="D679" s="148"/>
      <c r="E679" s="148"/>
      <c r="F679" s="15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</row>
    <row r="680" spans="1:17" s="44" customFormat="1" ht="30" customHeight="1" x14ac:dyDescent="0.35">
      <c r="A680" s="169" t="s">
        <v>592</v>
      </c>
      <c r="B680" s="148"/>
      <c r="C680" s="148"/>
      <c r="D680" s="148"/>
      <c r="E680" s="148"/>
      <c r="F680" s="15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</row>
    <row r="681" spans="1:17" s="44" customFormat="1" ht="30" customHeight="1" x14ac:dyDescent="0.35">
      <c r="A681" s="169" t="s">
        <v>593</v>
      </c>
      <c r="B681" s="148"/>
      <c r="C681" s="148"/>
      <c r="D681" s="148"/>
      <c r="E681" s="148"/>
      <c r="F681" s="15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</row>
    <row r="682" spans="1:17" s="44" customFormat="1" ht="30" customHeight="1" x14ac:dyDescent="0.35">
      <c r="A682" s="169" t="s">
        <v>594</v>
      </c>
      <c r="B682" s="148"/>
      <c r="C682" s="148"/>
      <c r="D682" s="148"/>
      <c r="E682" s="148"/>
      <c r="F682" s="15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</row>
    <row r="683" spans="1:17" s="44" customFormat="1" ht="30" customHeight="1" x14ac:dyDescent="0.35">
      <c r="A683" s="169" t="s">
        <v>595</v>
      </c>
      <c r="B683" s="148"/>
      <c r="C683" s="148"/>
      <c r="D683" s="148"/>
      <c r="E683" s="148"/>
      <c r="F683" s="15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</row>
    <row r="684" spans="1:17" s="44" customFormat="1" ht="30" customHeight="1" x14ac:dyDescent="0.35">
      <c r="A684" s="169" t="s">
        <v>596</v>
      </c>
      <c r="B684" s="148"/>
      <c r="C684" s="148"/>
      <c r="D684" s="148"/>
      <c r="E684" s="148"/>
      <c r="F684" s="15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</row>
    <row r="685" spans="1:17" s="44" customFormat="1" ht="30" customHeight="1" x14ac:dyDescent="0.35">
      <c r="A685" s="169" t="s">
        <v>597</v>
      </c>
      <c r="B685" s="148"/>
      <c r="C685" s="148"/>
      <c r="D685" s="148"/>
      <c r="E685" s="148"/>
      <c r="F685" s="15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</row>
    <row r="686" spans="1:17" s="44" customFormat="1" ht="30" customHeight="1" x14ac:dyDescent="0.35">
      <c r="A686" s="169" t="s">
        <v>598</v>
      </c>
      <c r="B686" s="148"/>
      <c r="C686" s="148"/>
      <c r="D686" s="148"/>
      <c r="E686" s="148"/>
      <c r="F686" s="15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</row>
    <row r="687" spans="1:17" s="44" customFormat="1" ht="30" customHeight="1" x14ac:dyDescent="0.35">
      <c r="A687" s="169" t="s">
        <v>599</v>
      </c>
      <c r="B687" s="148"/>
      <c r="C687" s="148"/>
      <c r="D687" s="148"/>
      <c r="E687" s="148"/>
      <c r="F687" s="15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</row>
    <row r="688" spans="1:17" s="44" customFormat="1" ht="30" customHeight="1" x14ac:dyDescent="0.35">
      <c r="A688" s="169" t="s">
        <v>600</v>
      </c>
      <c r="B688" s="148"/>
      <c r="C688" s="148"/>
      <c r="D688" s="148"/>
      <c r="E688" s="148"/>
      <c r="F688" s="15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</row>
    <row r="689" spans="1:17" s="44" customFormat="1" ht="30" customHeight="1" x14ac:dyDescent="0.35">
      <c r="A689" s="169" t="s">
        <v>601</v>
      </c>
      <c r="B689" s="148"/>
      <c r="C689" s="148"/>
      <c r="D689" s="148"/>
      <c r="E689" s="148"/>
      <c r="F689" s="15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</row>
    <row r="690" spans="1:17" s="44" customFormat="1" ht="30" customHeight="1" x14ac:dyDescent="0.35">
      <c r="A690" s="169" t="s">
        <v>602</v>
      </c>
      <c r="B690" s="148"/>
      <c r="C690" s="148"/>
      <c r="D690" s="148"/>
      <c r="E690" s="148"/>
      <c r="F690" s="15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</row>
    <row r="691" spans="1:17" s="44" customFormat="1" ht="30" customHeight="1" x14ac:dyDescent="0.35">
      <c r="A691" s="169" t="s">
        <v>603</v>
      </c>
      <c r="B691" s="148"/>
      <c r="C691" s="148"/>
      <c r="D691" s="148"/>
      <c r="E691" s="148"/>
      <c r="F691" s="15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</row>
    <row r="692" spans="1:17" s="44" customFormat="1" ht="30" customHeight="1" x14ac:dyDescent="0.35">
      <c r="A692" s="169" t="s">
        <v>604</v>
      </c>
      <c r="B692" s="148"/>
      <c r="C692" s="148"/>
      <c r="D692" s="148"/>
      <c r="E692" s="148"/>
      <c r="F692" s="15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</row>
    <row r="693" spans="1:17" s="44" customFormat="1" ht="30" customHeight="1" x14ac:dyDescent="0.35">
      <c r="A693" s="169" t="s">
        <v>605</v>
      </c>
      <c r="B693" s="148"/>
      <c r="C693" s="148"/>
      <c r="D693" s="148"/>
      <c r="E693" s="148"/>
      <c r="F693" s="15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</row>
    <row r="694" spans="1:17" s="44" customFormat="1" ht="30" customHeight="1" x14ac:dyDescent="0.35">
      <c r="A694" s="169" t="s">
        <v>606</v>
      </c>
      <c r="B694" s="169"/>
      <c r="C694" s="148"/>
      <c r="D694" s="148"/>
      <c r="E694" s="148"/>
      <c r="F694" s="148"/>
      <c r="G694" s="15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</row>
    <row r="695" spans="1:17" s="44" customFormat="1" ht="30" customHeight="1" x14ac:dyDescent="0.35">
      <c r="A695" s="169" t="s">
        <v>607</v>
      </c>
      <c r="B695" s="169"/>
      <c r="C695" s="148"/>
      <c r="D695" s="148"/>
      <c r="E695" s="148"/>
      <c r="F695" s="148"/>
      <c r="G695" s="15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</row>
    <row r="696" spans="1:17" s="44" customFormat="1" ht="30" customHeight="1" x14ac:dyDescent="0.35">
      <c r="A696" s="169" t="s">
        <v>608</v>
      </c>
      <c r="B696" s="169"/>
      <c r="C696" s="148"/>
      <c r="D696" s="148"/>
      <c r="E696" s="148"/>
      <c r="F696" s="148"/>
      <c r="G696" s="15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</row>
    <row r="697" spans="1:17" s="44" customFormat="1" ht="30" customHeight="1" x14ac:dyDescent="0.35">
      <c r="A697" s="169" t="s">
        <v>609</v>
      </c>
      <c r="B697" s="169"/>
      <c r="C697" s="148"/>
      <c r="D697" s="148"/>
      <c r="E697" s="148"/>
      <c r="F697" s="148"/>
      <c r="G697" s="15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</row>
    <row r="698" spans="1:17" s="44" customFormat="1" ht="30" customHeight="1" x14ac:dyDescent="0.35">
      <c r="A698" s="143" t="s">
        <v>610</v>
      </c>
      <c r="B698" s="144"/>
      <c r="C698" s="144"/>
      <c r="D698" s="144"/>
      <c r="E698" s="144"/>
      <c r="F698" s="145"/>
      <c r="G698" s="143"/>
      <c r="H698" s="143"/>
      <c r="I698" s="143"/>
      <c r="J698" s="143"/>
      <c r="K698" s="143"/>
      <c r="L698" s="143"/>
      <c r="M698" s="143"/>
      <c r="N698" s="143"/>
      <c r="O698" s="143"/>
      <c r="P698" s="143"/>
      <c r="Q698" s="143"/>
    </row>
    <row r="699" spans="1:17" s="44" customFormat="1" ht="30" customHeight="1" x14ac:dyDescent="0.35">
      <c r="A699" s="169" t="s">
        <v>611</v>
      </c>
      <c r="B699" s="148"/>
      <c r="C699" s="148"/>
      <c r="D699" s="148"/>
      <c r="E699" s="148"/>
      <c r="F699" s="15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</row>
    <row r="700" spans="1:17" s="44" customFormat="1" ht="30" customHeight="1" x14ac:dyDescent="0.35">
      <c r="A700" s="169" t="s">
        <v>612</v>
      </c>
      <c r="B700" s="148"/>
      <c r="C700" s="148"/>
      <c r="D700" s="148"/>
      <c r="E700" s="148"/>
      <c r="F700" s="15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</row>
    <row r="701" spans="1:17" s="44" customFormat="1" ht="30" customHeight="1" x14ac:dyDescent="0.35">
      <c r="A701" s="169" t="s">
        <v>613</v>
      </c>
      <c r="B701" s="148"/>
      <c r="C701" s="148"/>
      <c r="D701" s="148"/>
      <c r="E701" s="148"/>
      <c r="F701" s="15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</row>
    <row r="702" spans="1:17" s="44" customFormat="1" ht="30" customHeight="1" x14ac:dyDescent="0.35">
      <c r="A702" s="169" t="s">
        <v>614</v>
      </c>
      <c r="B702" s="148"/>
      <c r="C702" s="148"/>
      <c r="D702" s="148"/>
      <c r="E702" s="148"/>
      <c r="F702" s="15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</row>
    <row r="703" spans="1:17" s="44" customFormat="1" ht="30" customHeight="1" x14ac:dyDescent="0.35">
      <c r="A703" s="169" t="s">
        <v>615</v>
      </c>
      <c r="B703" s="148"/>
      <c r="C703" s="148"/>
      <c r="D703" s="148"/>
      <c r="E703" s="148"/>
      <c r="F703" s="15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</row>
    <row r="704" spans="1:17" s="44" customFormat="1" ht="30" customHeight="1" x14ac:dyDescent="0.35">
      <c r="A704" s="169" t="s">
        <v>616</v>
      </c>
      <c r="B704" s="148"/>
      <c r="C704" s="148"/>
      <c r="D704" s="148"/>
      <c r="E704" s="148"/>
      <c r="F704" s="15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</row>
    <row r="705" spans="1:17" s="44" customFormat="1" ht="30" customHeight="1" x14ac:dyDescent="0.35">
      <c r="A705" s="169" t="s">
        <v>617</v>
      </c>
      <c r="B705" s="148"/>
      <c r="C705" s="148"/>
      <c r="D705" s="148"/>
      <c r="E705" s="148"/>
      <c r="F705" s="15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</row>
    <row r="706" spans="1:17" s="44" customFormat="1" ht="30" customHeight="1" x14ac:dyDescent="0.35">
      <c r="A706" s="169" t="s">
        <v>618</v>
      </c>
      <c r="B706" s="148"/>
      <c r="C706" s="148"/>
      <c r="D706" s="148"/>
      <c r="E706" s="148"/>
      <c r="F706" s="15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</row>
    <row r="707" spans="1:17" s="44" customFormat="1" ht="30" customHeight="1" x14ac:dyDescent="0.35">
      <c r="A707" s="169" t="s">
        <v>619</v>
      </c>
      <c r="B707" s="148"/>
      <c r="C707" s="148"/>
      <c r="D707" s="148"/>
      <c r="E707" s="148"/>
      <c r="F707" s="15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</row>
    <row r="708" spans="1:17" s="44" customFormat="1" ht="30" customHeight="1" x14ac:dyDescent="0.35">
      <c r="A708" s="169" t="s">
        <v>620</v>
      </c>
      <c r="B708" s="148"/>
      <c r="C708" s="148"/>
      <c r="D708" s="148"/>
      <c r="E708" s="148"/>
      <c r="F708" s="15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</row>
    <row r="709" spans="1:17" s="44" customFormat="1" ht="30" customHeight="1" x14ac:dyDescent="0.35">
      <c r="A709" s="169" t="s">
        <v>621</v>
      </c>
      <c r="B709" s="148"/>
      <c r="C709" s="148"/>
      <c r="D709" s="148"/>
      <c r="E709" s="148"/>
      <c r="F709" s="157"/>
      <c r="G709" s="167"/>
      <c r="H709" s="167"/>
      <c r="I709" s="170"/>
      <c r="J709" s="170"/>
      <c r="K709" s="167"/>
      <c r="L709" s="167"/>
      <c r="M709" s="167"/>
      <c r="N709" s="167"/>
      <c r="O709" s="167"/>
      <c r="P709" s="167"/>
      <c r="Q709" s="167"/>
    </row>
    <row r="710" spans="1:17" s="44" customFormat="1" ht="30" customHeight="1" x14ac:dyDescent="0.35">
      <c r="A710" s="169" t="s">
        <v>622</v>
      </c>
      <c r="B710" s="148"/>
      <c r="C710" s="148"/>
      <c r="D710" s="148"/>
      <c r="E710" s="148"/>
      <c r="F710" s="15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</row>
    <row r="711" spans="1:17" s="44" customFormat="1" ht="30" customHeight="1" x14ac:dyDescent="0.35">
      <c r="A711" s="169" t="s">
        <v>623</v>
      </c>
      <c r="B711" s="148"/>
      <c r="C711" s="148"/>
      <c r="D711" s="148"/>
      <c r="E711" s="148"/>
      <c r="F711" s="15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</row>
    <row r="712" spans="1:17" s="44" customFormat="1" ht="30" customHeight="1" x14ac:dyDescent="0.35">
      <c r="A712" s="143" t="s">
        <v>624</v>
      </c>
      <c r="B712" s="144"/>
      <c r="C712" s="144"/>
      <c r="D712" s="144"/>
      <c r="E712" s="144"/>
      <c r="F712" s="145"/>
      <c r="G712" s="143"/>
      <c r="H712" s="143"/>
      <c r="I712" s="143"/>
      <c r="J712" s="143"/>
      <c r="K712" s="143"/>
      <c r="L712" s="143"/>
      <c r="M712" s="143"/>
      <c r="N712" s="143"/>
      <c r="O712" s="143"/>
      <c r="P712" s="143"/>
      <c r="Q712" s="143"/>
    </row>
    <row r="713" spans="1:17" s="44" customFormat="1" ht="30" customHeight="1" x14ac:dyDescent="0.35">
      <c r="A713" s="169" t="s">
        <v>625</v>
      </c>
      <c r="B713" s="148"/>
      <c r="C713" s="148"/>
      <c r="D713" s="148"/>
      <c r="E713" s="148"/>
      <c r="F713" s="15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</row>
    <row r="714" spans="1:17" s="44" customFormat="1" ht="26" x14ac:dyDescent="0.35">
      <c r="A714" s="171"/>
      <c r="B714" s="169" t="s">
        <v>626</v>
      </c>
      <c r="C714" s="148"/>
      <c r="D714" s="148"/>
      <c r="E714" s="148"/>
      <c r="F714" s="15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</row>
    <row r="715" spans="1:17" s="44" customFormat="1" ht="30" customHeight="1" x14ac:dyDescent="0.35">
      <c r="A715" s="172"/>
      <c r="B715" s="169" t="s">
        <v>627</v>
      </c>
      <c r="C715" s="148"/>
      <c r="D715" s="148"/>
      <c r="E715" s="148"/>
      <c r="F715" s="15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</row>
    <row r="716" spans="1:17" s="44" customFormat="1" ht="30" customHeight="1" x14ac:dyDescent="0.35">
      <c r="A716" s="169" t="s">
        <v>628</v>
      </c>
      <c r="B716" s="148"/>
      <c r="C716" s="148"/>
      <c r="D716" s="148"/>
      <c r="E716" s="148"/>
      <c r="F716" s="15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</row>
    <row r="717" spans="1:17" s="44" customFormat="1" ht="30" customHeight="1" x14ac:dyDescent="0.35">
      <c r="A717" s="171"/>
      <c r="B717" s="169" t="s">
        <v>629</v>
      </c>
      <c r="C717" s="148"/>
      <c r="D717" s="148"/>
      <c r="E717" s="148"/>
      <c r="F717" s="15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</row>
    <row r="718" spans="1:17" s="44" customFormat="1" ht="30" customHeight="1" x14ac:dyDescent="0.35">
      <c r="A718" s="172"/>
      <c r="B718" s="169" t="s">
        <v>630</v>
      </c>
      <c r="C718" s="148"/>
      <c r="D718" s="148"/>
      <c r="E718" s="148"/>
      <c r="F718" s="15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</row>
    <row r="719" spans="1:17" s="44" customFormat="1" ht="30" customHeight="1" x14ac:dyDescent="0.35">
      <c r="A719" s="143" t="s">
        <v>631</v>
      </c>
      <c r="B719" s="144"/>
      <c r="C719" s="144"/>
      <c r="D719" s="144"/>
      <c r="E719" s="144"/>
      <c r="F719" s="145"/>
      <c r="G719" s="143"/>
      <c r="H719" s="143"/>
      <c r="I719" s="143"/>
      <c r="J719" s="143"/>
      <c r="K719" s="143"/>
      <c r="L719" s="143"/>
      <c r="M719" s="143"/>
      <c r="N719" s="143"/>
      <c r="O719" s="143"/>
      <c r="P719" s="143"/>
      <c r="Q719" s="143"/>
    </row>
    <row r="720" spans="1:17" s="44" customFormat="1" ht="30" customHeight="1" x14ac:dyDescent="0.35">
      <c r="A720" s="169" t="s">
        <v>632</v>
      </c>
      <c r="B720" s="148"/>
      <c r="C720" s="148"/>
      <c r="D720" s="148"/>
      <c r="E720" s="148"/>
      <c r="F720" s="15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</row>
    <row r="721" spans="1:17" s="44" customFormat="1" ht="30" customHeight="1" x14ac:dyDescent="0.35">
      <c r="A721" s="169" t="s">
        <v>633</v>
      </c>
      <c r="B721" s="148"/>
      <c r="C721" s="148"/>
      <c r="D721" s="148"/>
      <c r="E721" s="148"/>
      <c r="F721" s="15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</row>
    <row r="722" spans="1:17" s="44" customFormat="1" ht="30" customHeight="1" x14ac:dyDescent="0.35">
      <c r="A722" s="169" t="s">
        <v>634</v>
      </c>
      <c r="B722" s="148"/>
      <c r="C722" s="148"/>
      <c r="D722" s="148"/>
      <c r="E722" s="148"/>
      <c r="F722" s="15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</row>
    <row r="723" spans="1:17" s="44" customFormat="1" ht="30" customHeight="1" x14ac:dyDescent="0.35">
      <c r="A723" s="143" t="s">
        <v>635</v>
      </c>
      <c r="B723" s="144"/>
      <c r="C723" s="144"/>
      <c r="D723" s="144"/>
      <c r="E723" s="144"/>
      <c r="F723" s="145"/>
      <c r="G723" s="143"/>
      <c r="H723" s="143"/>
      <c r="I723" s="143"/>
      <c r="J723" s="143"/>
      <c r="K723" s="143"/>
      <c r="L723" s="143"/>
      <c r="M723" s="143"/>
      <c r="N723" s="143"/>
      <c r="O723" s="143"/>
      <c r="P723" s="143"/>
      <c r="Q723" s="143"/>
    </row>
    <row r="724" spans="1:17" s="44" customFormat="1" ht="30" customHeight="1" x14ac:dyDescent="0.35">
      <c r="A724" s="169" t="s">
        <v>636</v>
      </c>
      <c r="B724" s="148"/>
      <c r="C724" s="148"/>
      <c r="D724" s="148"/>
      <c r="E724" s="148"/>
      <c r="F724" s="15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</row>
    <row r="725" spans="1:17" s="44" customFormat="1" ht="30" customHeight="1" x14ac:dyDescent="0.35">
      <c r="A725" s="169" t="s">
        <v>637</v>
      </c>
      <c r="B725" s="148"/>
      <c r="C725" s="148"/>
      <c r="D725" s="148"/>
      <c r="E725" s="148"/>
      <c r="F725" s="15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</row>
    <row r="726" spans="1:17" s="44" customFormat="1" ht="30" customHeight="1" x14ac:dyDescent="0.35">
      <c r="A726" s="143" t="s">
        <v>638</v>
      </c>
      <c r="B726" s="144"/>
      <c r="C726" s="144"/>
      <c r="D726" s="144"/>
      <c r="E726" s="144"/>
      <c r="F726" s="145"/>
      <c r="G726" s="143"/>
      <c r="H726" s="143"/>
      <c r="I726" s="143"/>
      <c r="J726" s="143"/>
      <c r="K726" s="143"/>
      <c r="L726" s="143"/>
      <c r="M726" s="143"/>
      <c r="N726" s="143"/>
      <c r="O726" s="143"/>
      <c r="P726" s="143"/>
      <c r="Q726" s="143"/>
    </row>
    <row r="727" spans="1:17" s="44" customFormat="1" ht="30" customHeight="1" x14ac:dyDescent="0.35">
      <c r="A727" s="169" t="s">
        <v>639</v>
      </c>
      <c r="B727" s="148"/>
      <c r="C727" s="148"/>
      <c r="D727" s="148"/>
      <c r="E727" s="148"/>
      <c r="F727" s="157"/>
      <c r="G727" s="167"/>
      <c r="H727" s="167"/>
      <c r="I727" s="167"/>
      <c r="J727" s="167"/>
      <c r="K727" s="167"/>
      <c r="L727" s="167"/>
      <c r="M727" s="167"/>
      <c r="N727" s="167"/>
      <c r="O727" s="167"/>
      <c r="P727" s="173"/>
      <c r="Q727" s="173"/>
    </row>
    <row r="728" spans="1:17" s="44" customFormat="1" ht="30" customHeight="1" x14ac:dyDescent="0.35">
      <c r="A728" s="169" t="s">
        <v>640</v>
      </c>
      <c r="B728" s="148"/>
      <c r="C728" s="148"/>
      <c r="D728" s="148"/>
      <c r="E728" s="148"/>
      <c r="F728" s="157"/>
      <c r="G728" s="167"/>
      <c r="H728" s="167"/>
      <c r="I728" s="167"/>
      <c r="J728" s="167"/>
      <c r="K728" s="167"/>
      <c r="L728" s="167"/>
      <c r="M728" s="167"/>
      <c r="N728" s="167"/>
      <c r="O728" s="167"/>
      <c r="P728" s="173"/>
      <c r="Q728" s="173"/>
    </row>
    <row r="729" spans="1:17" s="44" customFormat="1" ht="30" customHeight="1" x14ac:dyDescent="0.35">
      <c r="A729" s="143" t="s">
        <v>749</v>
      </c>
      <c r="B729" s="144"/>
      <c r="C729" s="144"/>
      <c r="D729" s="144"/>
      <c r="E729" s="144"/>
      <c r="F729" s="145"/>
      <c r="G729" s="143"/>
      <c r="H729" s="143"/>
      <c r="I729" s="143"/>
      <c r="J729" s="143"/>
      <c r="K729" s="143"/>
      <c r="L729" s="143"/>
      <c r="M729" s="143"/>
      <c r="N729" s="143"/>
      <c r="O729" s="143"/>
      <c r="P729" s="174" t="s">
        <v>641</v>
      </c>
      <c r="Q729" s="174" t="s">
        <v>642</v>
      </c>
    </row>
    <row r="730" spans="1:17" s="44" customFormat="1" ht="30" customHeight="1" x14ac:dyDescent="0.35">
      <c r="A730" s="169" t="s">
        <v>643</v>
      </c>
      <c r="B730" s="148"/>
      <c r="C730" s="148"/>
      <c r="D730" s="148"/>
      <c r="E730" s="148"/>
      <c r="F730" s="157"/>
      <c r="G730" s="167"/>
      <c r="H730" s="167"/>
      <c r="I730" s="167"/>
      <c r="J730" s="167"/>
      <c r="K730" s="167"/>
      <c r="L730" s="167"/>
      <c r="M730" s="167"/>
      <c r="N730" s="167"/>
      <c r="O730" s="167"/>
      <c r="P730" s="173" t="s">
        <v>644</v>
      </c>
      <c r="Q730" s="173" t="s">
        <v>645</v>
      </c>
    </row>
    <row r="731" spans="1:17" s="44" customFormat="1" ht="30" customHeight="1" x14ac:dyDescent="0.35">
      <c r="A731" s="169" t="s">
        <v>646</v>
      </c>
      <c r="B731" s="148"/>
      <c r="C731" s="148"/>
      <c r="D731" s="148"/>
      <c r="E731" s="148"/>
      <c r="F731" s="157"/>
      <c r="G731" s="167"/>
      <c r="H731" s="167"/>
      <c r="I731" s="167"/>
      <c r="J731" s="167"/>
      <c r="K731" s="167"/>
      <c r="L731" s="167"/>
      <c r="M731" s="167"/>
      <c r="N731" s="167"/>
      <c r="O731" s="167"/>
      <c r="P731" s="173" t="s">
        <v>644</v>
      </c>
      <c r="Q731" s="173" t="s">
        <v>645</v>
      </c>
    </row>
    <row r="732" spans="1:17" s="44" customFormat="1" ht="30" customHeight="1" x14ac:dyDescent="0.35">
      <c r="A732" s="169" t="s">
        <v>647</v>
      </c>
      <c r="B732" s="148"/>
      <c r="C732" s="148"/>
      <c r="D732" s="148"/>
      <c r="E732" s="148"/>
      <c r="F732" s="157"/>
      <c r="G732" s="167"/>
      <c r="H732" s="167"/>
      <c r="I732" s="167"/>
      <c r="J732" s="167"/>
      <c r="K732" s="167"/>
      <c r="L732" s="167"/>
      <c r="M732" s="167"/>
      <c r="N732" s="167"/>
      <c r="O732" s="167"/>
      <c r="P732" s="173" t="s">
        <v>644</v>
      </c>
      <c r="Q732" s="173" t="s">
        <v>645</v>
      </c>
    </row>
    <row r="733" spans="1:17" s="44" customFormat="1" ht="30" customHeight="1" x14ac:dyDescent="0.35">
      <c r="A733" s="169" t="s">
        <v>648</v>
      </c>
      <c r="B733" s="148"/>
      <c r="C733" s="148"/>
      <c r="D733" s="148"/>
      <c r="E733" s="148"/>
      <c r="F733" s="157"/>
      <c r="G733" s="167"/>
      <c r="H733" s="167"/>
      <c r="I733" s="167"/>
      <c r="J733" s="167"/>
      <c r="K733" s="167"/>
      <c r="L733" s="167"/>
      <c r="M733" s="167"/>
      <c r="N733" s="167"/>
      <c r="O733" s="167"/>
      <c r="P733" s="173" t="s">
        <v>644</v>
      </c>
      <c r="Q733" s="173" t="s">
        <v>645</v>
      </c>
    </row>
    <row r="734" spans="1:17" s="44" customFormat="1" ht="30" customHeight="1" x14ac:dyDescent="0.35">
      <c r="A734" s="169" t="s">
        <v>649</v>
      </c>
      <c r="B734" s="148"/>
      <c r="C734" s="148"/>
      <c r="D734" s="148"/>
      <c r="E734" s="148"/>
      <c r="F734" s="157"/>
      <c r="G734" s="167"/>
      <c r="H734" s="167"/>
      <c r="I734" s="167"/>
      <c r="J734" s="167"/>
      <c r="K734" s="167"/>
      <c r="L734" s="167"/>
      <c r="M734" s="167"/>
      <c r="N734" s="167"/>
      <c r="O734" s="167"/>
      <c r="P734" s="173" t="s">
        <v>644</v>
      </c>
      <c r="Q734" s="173" t="s">
        <v>645</v>
      </c>
    </row>
    <row r="735" spans="1:17" s="44" customFormat="1" ht="30" customHeight="1" x14ac:dyDescent="0.35">
      <c r="A735" s="169" t="s">
        <v>650</v>
      </c>
      <c r="B735" s="148"/>
      <c r="C735" s="148"/>
      <c r="D735" s="148"/>
      <c r="E735" s="148"/>
      <c r="F735" s="157"/>
      <c r="G735" s="167"/>
      <c r="H735" s="167"/>
      <c r="I735" s="167"/>
      <c r="J735" s="167"/>
      <c r="K735" s="167"/>
      <c r="L735" s="167"/>
      <c r="M735" s="167"/>
      <c r="N735" s="167"/>
      <c r="O735" s="167"/>
      <c r="P735" s="173" t="s">
        <v>644</v>
      </c>
      <c r="Q735" s="173" t="s">
        <v>645</v>
      </c>
    </row>
    <row r="736" spans="1:17" s="44" customFormat="1" ht="30" customHeight="1" x14ac:dyDescent="0.35">
      <c r="A736" s="169" t="s">
        <v>651</v>
      </c>
      <c r="B736" s="148"/>
      <c r="C736" s="148"/>
      <c r="D736" s="148"/>
      <c r="E736" s="148"/>
      <c r="F736" s="157"/>
      <c r="G736" s="167"/>
      <c r="H736" s="167"/>
      <c r="I736" s="167"/>
      <c r="J736" s="167"/>
      <c r="K736" s="167"/>
      <c r="L736" s="167"/>
      <c r="M736" s="167"/>
      <c r="N736" s="167"/>
      <c r="O736" s="167"/>
      <c r="P736" s="173" t="s">
        <v>644</v>
      </c>
      <c r="Q736" s="173" t="s">
        <v>645</v>
      </c>
    </row>
    <row r="737" spans="1:17" s="44" customFormat="1" ht="30" customHeight="1" x14ac:dyDescent="0.35">
      <c r="A737" s="169" t="s">
        <v>652</v>
      </c>
      <c r="B737" s="148"/>
      <c r="C737" s="148"/>
      <c r="D737" s="148"/>
      <c r="E737" s="148"/>
      <c r="F737" s="157"/>
      <c r="G737" s="167"/>
      <c r="H737" s="167"/>
      <c r="I737" s="167"/>
      <c r="J737" s="167"/>
      <c r="K737" s="167"/>
      <c r="L737" s="167"/>
      <c r="M737" s="167"/>
      <c r="N737" s="167"/>
      <c r="O737" s="167"/>
      <c r="P737" s="173" t="s">
        <v>644</v>
      </c>
      <c r="Q737" s="173" t="s">
        <v>645</v>
      </c>
    </row>
    <row r="738" spans="1:17" s="44" customFormat="1" ht="30" customHeight="1" x14ac:dyDescent="0.35">
      <c r="A738" s="169" t="s">
        <v>653</v>
      </c>
      <c r="B738" s="148"/>
      <c r="C738" s="148"/>
      <c r="D738" s="148"/>
      <c r="E738" s="148"/>
      <c r="F738" s="157"/>
      <c r="G738" s="167"/>
      <c r="H738" s="167"/>
      <c r="I738" s="167"/>
      <c r="J738" s="167"/>
      <c r="K738" s="167"/>
      <c r="L738" s="167"/>
      <c r="M738" s="167"/>
      <c r="N738" s="167"/>
      <c r="O738" s="167"/>
      <c r="P738" s="173" t="s">
        <v>644</v>
      </c>
      <c r="Q738" s="173" t="s">
        <v>645</v>
      </c>
    </row>
    <row r="739" spans="1:17" s="188" customFormat="1" ht="30" customHeight="1" x14ac:dyDescent="0.35">
      <c r="A739" s="193" t="s">
        <v>742</v>
      </c>
      <c r="B739" s="189"/>
      <c r="C739" s="189"/>
      <c r="D739" s="189"/>
      <c r="E739" s="189"/>
      <c r="F739" s="190"/>
      <c r="G739" s="191"/>
      <c r="H739" s="191"/>
      <c r="I739" s="191"/>
      <c r="J739" s="191"/>
      <c r="K739" s="191"/>
      <c r="L739" s="191"/>
      <c r="M739" s="191"/>
      <c r="N739" s="191"/>
      <c r="O739" s="191"/>
      <c r="P739" s="192" t="s">
        <v>644</v>
      </c>
      <c r="Q739" s="192" t="s">
        <v>645</v>
      </c>
    </row>
    <row r="740" spans="1:17" s="188" customFormat="1" ht="30" customHeight="1" x14ac:dyDescent="0.35">
      <c r="A740" s="193" t="s">
        <v>743</v>
      </c>
      <c r="B740" s="189"/>
      <c r="C740" s="189"/>
      <c r="D740" s="189"/>
      <c r="E740" s="189"/>
      <c r="F740" s="190"/>
      <c r="G740" s="191"/>
      <c r="H740" s="191"/>
      <c r="I740" s="191"/>
      <c r="J740" s="191"/>
      <c r="K740" s="191"/>
      <c r="L740" s="191"/>
      <c r="M740" s="191"/>
      <c r="N740" s="191"/>
      <c r="O740" s="191"/>
      <c r="P740" s="192" t="s">
        <v>644</v>
      </c>
      <c r="Q740" s="192" t="s">
        <v>645</v>
      </c>
    </row>
    <row r="741" spans="1:17" s="44" customFormat="1" ht="30" customHeight="1" x14ac:dyDescent="0.35">
      <c r="A741" s="169" t="s">
        <v>654</v>
      </c>
      <c r="B741" s="148"/>
      <c r="C741" s="148"/>
      <c r="D741" s="148"/>
      <c r="E741" s="148"/>
      <c r="F741" s="157"/>
      <c r="G741" s="167"/>
      <c r="H741" s="167"/>
      <c r="I741" s="167"/>
      <c r="J741" s="167"/>
      <c r="K741" s="167"/>
      <c r="L741" s="167"/>
      <c r="M741" s="167"/>
      <c r="N741" s="167"/>
      <c r="O741" s="167"/>
      <c r="P741" s="173" t="s">
        <v>644</v>
      </c>
      <c r="Q741" s="173" t="s">
        <v>645</v>
      </c>
    </row>
    <row r="742" spans="1:17" s="44" customFormat="1" ht="30" customHeight="1" x14ac:dyDescent="0.35">
      <c r="A742" s="169" t="s">
        <v>655</v>
      </c>
      <c r="B742" s="148"/>
      <c r="C742" s="148"/>
      <c r="D742" s="148"/>
      <c r="E742" s="148"/>
      <c r="F742" s="157"/>
      <c r="G742" s="167"/>
      <c r="H742" s="167"/>
      <c r="I742" s="167"/>
      <c r="J742" s="167"/>
      <c r="K742" s="167"/>
      <c r="L742" s="167"/>
      <c r="M742" s="167"/>
      <c r="N742" s="167"/>
      <c r="O742" s="167"/>
      <c r="P742" s="173" t="s">
        <v>644</v>
      </c>
      <c r="Q742" s="173" t="s">
        <v>645</v>
      </c>
    </row>
    <row r="743" spans="1:17" s="44" customFormat="1" ht="30" customHeight="1" x14ac:dyDescent="0.35">
      <c r="A743" s="169" t="s">
        <v>656</v>
      </c>
      <c r="B743" s="148"/>
      <c r="C743" s="148"/>
      <c r="D743" s="148"/>
      <c r="E743" s="148"/>
      <c r="F743" s="157"/>
      <c r="G743" s="167"/>
      <c r="H743" s="167"/>
      <c r="I743" s="167"/>
      <c r="J743" s="167"/>
      <c r="K743" s="167"/>
      <c r="L743" s="167"/>
      <c r="M743" s="167"/>
      <c r="N743" s="167"/>
      <c r="O743" s="167"/>
      <c r="P743" s="173" t="s">
        <v>644</v>
      </c>
      <c r="Q743" s="173" t="s">
        <v>645</v>
      </c>
    </row>
    <row r="744" spans="1:17" s="44" customFormat="1" ht="30" customHeight="1" x14ac:dyDescent="0.35">
      <c r="A744" s="169" t="s">
        <v>657</v>
      </c>
      <c r="B744" s="148"/>
      <c r="C744" s="148"/>
      <c r="D744" s="148"/>
      <c r="E744" s="148"/>
      <c r="F744" s="157"/>
      <c r="G744" s="167"/>
      <c r="H744" s="167"/>
      <c r="I744" s="167"/>
      <c r="J744" s="167"/>
      <c r="K744" s="167"/>
      <c r="L744" s="167"/>
      <c r="M744" s="167"/>
      <c r="N744" s="167"/>
      <c r="O744" s="167"/>
      <c r="P744" s="173" t="s">
        <v>644</v>
      </c>
      <c r="Q744" s="173" t="s">
        <v>645</v>
      </c>
    </row>
    <row r="745" spans="1:17" s="188" customFormat="1" ht="30" customHeight="1" x14ac:dyDescent="0.35">
      <c r="A745" s="193" t="s">
        <v>744</v>
      </c>
      <c r="B745" s="189"/>
      <c r="C745" s="189"/>
      <c r="D745" s="189"/>
      <c r="E745" s="189"/>
      <c r="F745" s="190"/>
      <c r="G745" s="191"/>
      <c r="H745" s="191"/>
      <c r="I745" s="191"/>
      <c r="J745" s="191"/>
      <c r="K745" s="191"/>
      <c r="L745" s="191"/>
      <c r="M745" s="191"/>
      <c r="N745" s="191"/>
      <c r="O745" s="191"/>
      <c r="P745" s="192" t="s">
        <v>644</v>
      </c>
      <c r="Q745" s="192" t="s">
        <v>645</v>
      </c>
    </row>
    <row r="746" spans="1:17" s="188" customFormat="1" ht="30" customHeight="1" x14ac:dyDescent="0.35">
      <c r="A746" s="193" t="s">
        <v>745</v>
      </c>
      <c r="B746" s="189"/>
      <c r="C746" s="189"/>
      <c r="D746" s="189"/>
      <c r="E746" s="189"/>
      <c r="F746" s="190"/>
      <c r="G746" s="191"/>
      <c r="H746" s="191"/>
      <c r="I746" s="191"/>
      <c r="J746" s="191"/>
      <c r="K746" s="191"/>
      <c r="L746" s="191"/>
      <c r="M746" s="191"/>
      <c r="N746" s="191"/>
      <c r="O746" s="191"/>
      <c r="P746" s="192" t="s">
        <v>644</v>
      </c>
      <c r="Q746" s="192" t="s">
        <v>645</v>
      </c>
    </row>
    <row r="747" spans="1:17" s="44" customFormat="1" ht="30" customHeight="1" x14ac:dyDescent="0.35">
      <c r="A747" s="169" t="s">
        <v>658</v>
      </c>
      <c r="B747" s="148"/>
      <c r="C747" s="148"/>
      <c r="D747" s="148"/>
      <c r="E747" s="148"/>
      <c r="F747" s="157"/>
      <c r="G747" s="167"/>
      <c r="H747" s="167"/>
      <c r="I747" s="167"/>
      <c r="J747" s="167"/>
      <c r="K747" s="167"/>
      <c r="L747" s="167"/>
      <c r="M747" s="167"/>
      <c r="N747" s="167"/>
      <c r="O747" s="167"/>
      <c r="P747" s="173" t="s">
        <v>644</v>
      </c>
      <c r="Q747" s="173" t="s">
        <v>645</v>
      </c>
    </row>
    <row r="748" spans="1:17" s="44" customFormat="1" ht="30" customHeight="1" x14ac:dyDescent="0.35">
      <c r="A748" s="169" t="s">
        <v>659</v>
      </c>
      <c r="B748" s="148"/>
      <c r="C748" s="148"/>
      <c r="D748" s="148"/>
      <c r="E748" s="148"/>
      <c r="F748" s="157"/>
      <c r="G748" s="167"/>
      <c r="H748" s="167"/>
      <c r="I748" s="167"/>
      <c r="J748" s="167"/>
      <c r="K748" s="167"/>
      <c r="L748" s="167"/>
      <c r="M748" s="167"/>
      <c r="N748" s="167"/>
      <c r="O748" s="167"/>
      <c r="P748" s="173" t="s">
        <v>644</v>
      </c>
      <c r="Q748" s="173" t="s">
        <v>645</v>
      </c>
    </row>
    <row r="749" spans="1:17" s="44" customFormat="1" ht="30" customHeight="1" x14ac:dyDescent="0.35">
      <c r="A749" s="169" t="s">
        <v>660</v>
      </c>
      <c r="B749" s="148"/>
      <c r="C749" s="148"/>
      <c r="D749" s="148"/>
      <c r="E749" s="148"/>
      <c r="F749" s="157"/>
      <c r="G749" s="167"/>
      <c r="H749" s="167"/>
      <c r="I749" s="167"/>
      <c r="J749" s="167"/>
      <c r="K749" s="167"/>
      <c r="L749" s="167"/>
      <c r="M749" s="167"/>
      <c r="N749" s="167"/>
      <c r="O749" s="167"/>
      <c r="P749" s="173" t="s">
        <v>661</v>
      </c>
      <c r="Q749" s="173" t="s">
        <v>645</v>
      </c>
    </row>
    <row r="750" spans="1:17" s="44" customFormat="1" ht="30" customHeight="1" x14ac:dyDescent="0.35">
      <c r="A750" s="169" t="s">
        <v>662</v>
      </c>
      <c r="B750" s="148"/>
      <c r="C750" s="148"/>
      <c r="D750" s="148"/>
      <c r="E750" s="148"/>
      <c r="F750" s="157"/>
      <c r="G750" s="167"/>
      <c r="H750" s="167"/>
      <c r="I750" s="167"/>
      <c r="J750" s="167"/>
      <c r="K750" s="167"/>
      <c r="L750" s="167"/>
      <c r="M750" s="167"/>
      <c r="N750" s="167"/>
      <c r="O750" s="167"/>
      <c r="P750" s="173" t="s">
        <v>661</v>
      </c>
      <c r="Q750" s="173" t="s">
        <v>645</v>
      </c>
    </row>
    <row r="751" spans="1:17" s="44" customFormat="1" ht="30" customHeight="1" x14ac:dyDescent="0.35">
      <c r="A751" s="169" t="s">
        <v>663</v>
      </c>
      <c r="B751" s="148"/>
      <c r="C751" s="148"/>
      <c r="D751" s="148"/>
      <c r="E751" s="148"/>
      <c r="F751" s="157"/>
      <c r="G751" s="167"/>
      <c r="H751" s="167"/>
      <c r="I751" s="167"/>
      <c r="J751" s="167"/>
      <c r="K751" s="167"/>
      <c r="L751" s="167"/>
      <c r="M751" s="167"/>
      <c r="N751" s="167"/>
      <c r="O751" s="167"/>
      <c r="P751" s="173" t="s">
        <v>661</v>
      </c>
      <c r="Q751" s="173" t="s">
        <v>645</v>
      </c>
    </row>
    <row r="752" spans="1:17" s="44" customFormat="1" ht="30" customHeight="1" x14ac:dyDescent="0.35">
      <c r="A752" s="169" t="s">
        <v>664</v>
      </c>
      <c r="B752" s="148"/>
      <c r="C752" s="148"/>
      <c r="D752" s="148"/>
      <c r="E752" s="148"/>
      <c r="F752" s="157"/>
      <c r="G752" s="167"/>
      <c r="H752" s="167"/>
      <c r="I752" s="167"/>
      <c r="J752" s="167"/>
      <c r="K752" s="167"/>
      <c r="L752" s="167"/>
      <c r="M752" s="167"/>
      <c r="N752" s="167"/>
      <c r="O752" s="167"/>
      <c r="P752" s="173" t="s">
        <v>661</v>
      </c>
      <c r="Q752" s="173" t="s">
        <v>645</v>
      </c>
    </row>
    <row r="753" spans="1:17" s="44" customFormat="1" ht="30" customHeight="1" x14ac:dyDescent="0.35">
      <c r="A753" s="213" t="s">
        <v>665</v>
      </c>
      <c r="B753" s="213"/>
      <c r="C753" s="213"/>
      <c r="D753" s="213"/>
      <c r="E753" s="213"/>
      <c r="F753" s="213"/>
      <c r="G753" s="213"/>
      <c r="H753" s="213"/>
      <c r="I753" s="213"/>
      <c r="J753" s="213"/>
      <c r="K753" s="213"/>
      <c r="L753" s="213"/>
      <c r="M753" s="213"/>
      <c r="N753" s="213"/>
      <c r="O753" s="213"/>
      <c r="P753" s="194" t="s">
        <v>666</v>
      </c>
      <c r="Q753" s="194" t="s">
        <v>666</v>
      </c>
    </row>
    <row r="754" spans="1:17" s="44" customFormat="1" ht="30" customHeight="1" x14ac:dyDescent="0.35">
      <c r="A754" s="213" t="s">
        <v>667</v>
      </c>
      <c r="B754" s="213"/>
      <c r="C754" s="213"/>
      <c r="D754" s="213"/>
      <c r="E754" s="213"/>
      <c r="F754" s="213"/>
      <c r="G754" s="213"/>
      <c r="H754" s="213"/>
      <c r="I754" s="213"/>
      <c r="J754" s="213"/>
      <c r="K754" s="213"/>
      <c r="L754" s="213"/>
      <c r="M754" s="213"/>
      <c r="N754" s="213"/>
      <c r="O754" s="213"/>
      <c r="P754" s="194" t="s">
        <v>666</v>
      </c>
      <c r="Q754" s="194" t="s">
        <v>666</v>
      </c>
    </row>
    <row r="755" spans="1:17" s="44" customFormat="1" ht="30" customHeight="1" x14ac:dyDescent="0.35">
      <c r="A755" s="171"/>
      <c r="B755" s="169" t="s">
        <v>668</v>
      </c>
      <c r="C755" s="148"/>
      <c r="D755" s="148"/>
      <c r="E755" s="148"/>
      <c r="F755" s="157"/>
      <c r="G755" s="167"/>
      <c r="H755" s="167"/>
      <c r="I755" s="167"/>
      <c r="J755" s="167"/>
      <c r="K755" s="167"/>
      <c r="L755" s="167"/>
      <c r="M755" s="167"/>
      <c r="N755" s="167"/>
      <c r="O755" s="167"/>
      <c r="P755" s="194" t="s">
        <v>666</v>
      </c>
      <c r="Q755" s="194" t="s">
        <v>666</v>
      </c>
    </row>
    <row r="756" spans="1:17" s="44" customFormat="1" ht="30" customHeight="1" x14ac:dyDescent="0.35">
      <c r="A756" s="172"/>
      <c r="B756" s="169" t="s">
        <v>669</v>
      </c>
      <c r="C756" s="148"/>
      <c r="D756" s="148"/>
      <c r="E756" s="148"/>
      <c r="F756" s="157"/>
      <c r="G756" s="167"/>
      <c r="H756" s="167"/>
      <c r="I756" s="167"/>
      <c r="J756" s="167"/>
      <c r="K756" s="167"/>
      <c r="L756" s="167"/>
      <c r="M756" s="167"/>
      <c r="N756" s="167"/>
      <c r="O756" s="167"/>
      <c r="P756" s="194" t="s">
        <v>666</v>
      </c>
      <c r="Q756" s="194" t="s">
        <v>666</v>
      </c>
    </row>
    <row r="757" spans="1:17" s="44" customFormat="1" ht="30" customHeight="1" x14ac:dyDescent="0.35">
      <c r="A757" s="195"/>
      <c r="B757" s="169" t="s">
        <v>670</v>
      </c>
      <c r="C757" s="128"/>
      <c r="D757" s="128"/>
      <c r="E757" s="128"/>
      <c r="F757" s="175"/>
      <c r="G757" s="132"/>
      <c r="H757" s="132"/>
      <c r="I757" s="132"/>
      <c r="J757" s="132"/>
      <c r="K757" s="132"/>
      <c r="L757" s="132"/>
      <c r="M757" s="132"/>
      <c r="N757" s="132"/>
      <c r="O757" s="132"/>
      <c r="P757" s="194" t="s">
        <v>666</v>
      </c>
      <c r="Q757" s="194" t="s">
        <v>666</v>
      </c>
    </row>
    <row r="758" spans="1:17" s="44" customFormat="1" ht="30" customHeight="1" x14ac:dyDescent="0.35">
      <c r="A758" s="213" t="s">
        <v>671</v>
      </c>
      <c r="B758" s="213"/>
      <c r="C758" s="213"/>
      <c r="D758" s="213"/>
      <c r="E758" s="213"/>
      <c r="F758" s="213"/>
      <c r="G758" s="213"/>
      <c r="H758" s="213"/>
      <c r="I758" s="213"/>
      <c r="J758" s="213"/>
      <c r="K758" s="213"/>
      <c r="L758" s="213"/>
      <c r="M758" s="213"/>
      <c r="N758" s="213"/>
      <c r="O758" s="213"/>
      <c r="P758" s="173" t="s">
        <v>672</v>
      </c>
      <c r="Q758" s="173" t="s">
        <v>645</v>
      </c>
    </row>
    <row r="759" spans="1:17" s="44" customFormat="1" ht="30" customHeight="1" x14ac:dyDescent="0.35">
      <c r="A759" s="143" t="s">
        <v>748</v>
      </c>
      <c r="B759" s="144"/>
      <c r="C759" s="144"/>
      <c r="D759" s="144"/>
      <c r="E759" s="144"/>
      <c r="F759" s="145"/>
      <c r="G759" s="143"/>
      <c r="H759" s="143"/>
      <c r="I759" s="143"/>
      <c r="J759" s="143"/>
      <c r="K759" s="143"/>
      <c r="L759" s="143"/>
      <c r="M759" s="143"/>
      <c r="N759" s="143"/>
      <c r="O759" s="143"/>
      <c r="P759" s="174" t="s">
        <v>641</v>
      </c>
      <c r="Q759" s="174" t="s">
        <v>642</v>
      </c>
    </row>
    <row r="760" spans="1:17" s="44" customFormat="1" ht="30" customHeight="1" x14ac:dyDescent="0.35">
      <c r="A760" s="169" t="s">
        <v>673</v>
      </c>
      <c r="B760" s="148"/>
      <c r="C760" s="148"/>
      <c r="D760" s="148"/>
      <c r="E760" s="148"/>
      <c r="F760" s="175"/>
      <c r="G760" s="167"/>
      <c r="H760" s="167"/>
      <c r="I760" s="167"/>
      <c r="J760" s="167"/>
      <c r="K760" s="167"/>
      <c r="L760" s="167"/>
      <c r="M760" s="167"/>
      <c r="N760" s="167"/>
      <c r="O760" s="167"/>
      <c r="P760" s="173" t="s">
        <v>674</v>
      </c>
      <c r="Q760" s="173" t="s">
        <v>675</v>
      </c>
    </row>
    <row r="761" spans="1:17" s="44" customFormat="1" ht="30" customHeight="1" x14ac:dyDescent="0.35">
      <c r="A761" s="169" t="s">
        <v>676</v>
      </c>
      <c r="B761" s="148"/>
      <c r="C761" s="148"/>
      <c r="D761" s="148"/>
      <c r="E761" s="148"/>
      <c r="F761" s="175"/>
      <c r="G761" s="167"/>
      <c r="H761" s="167"/>
      <c r="I761" s="167"/>
      <c r="J761" s="167"/>
      <c r="K761" s="167"/>
      <c r="L761" s="167"/>
      <c r="M761" s="167"/>
      <c r="N761" s="167"/>
      <c r="O761" s="167"/>
      <c r="P761" s="173" t="s">
        <v>674</v>
      </c>
      <c r="Q761" s="173" t="s">
        <v>675</v>
      </c>
    </row>
    <row r="762" spans="1:17" s="44" customFormat="1" ht="30" customHeight="1" x14ac:dyDescent="0.35">
      <c r="A762" s="169" t="s">
        <v>677</v>
      </c>
      <c r="B762" s="148"/>
      <c r="C762" s="148"/>
      <c r="D762" s="148"/>
      <c r="E762" s="148"/>
      <c r="F762" s="175"/>
      <c r="G762" s="167"/>
      <c r="H762" s="167"/>
      <c r="I762" s="167"/>
      <c r="J762" s="167"/>
      <c r="K762" s="167"/>
      <c r="L762" s="167"/>
      <c r="M762" s="167"/>
      <c r="N762" s="167"/>
      <c r="O762" s="167"/>
      <c r="P762" s="173" t="s">
        <v>674</v>
      </c>
      <c r="Q762" s="173" t="s">
        <v>675</v>
      </c>
    </row>
    <row r="763" spans="1:17" s="44" customFormat="1" ht="30" customHeight="1" x14ac:dyDescent="0.35">
      <c r="A763" s="169" t="s">
        <v>678</v>
      </c>
      <c r="B763" s="148"/>
      <c r="C763" s="148"/>
      <c r="D763" s="148"/>
      <c r="E763" s="148"/>
      <c r="F763" s="175"/>
      <c r="G763" s="167"/>
      <c r="H763" s="167"/>
      <c r="I763" s="167"/>
      <c r="J763" s="167"/>
      <c r="K763" s="167"/>
      <c r="L763" s="167"/>
      <c r="M763" s="167"/>
      <c r="N763" s="167"/>
      <c r="O763" s="167"/>
      <c r="P763" s="173" t="s">
        <v>674</v>
      </c>
      <c r="Q763" s="173" t="s">
        <v>675</v>
      </c>
    </row>
    <row r="764" spans="1:17" s="44" customFormat="1" ht="30" customHeight="1" x14ac:dyDescent="0.35">
      <c r="A764" s="169" t="s">
        <v>679</v>
      </c>
      <c r="B764" s="148"/>
      <c r="C764" s="148"/>
      <c r="D764" s="148"/>
      <c r="E764" s="148"/>
      <c r="F764" s="175"/>
      <c r="G764" s="167"/>
      <c r="H764" s="167"/>
      <c r="I764" s="167"/>
      <c r="J764" s="167"/>
      <c r="K764" s="167"/>
      <c r="L764" s="167"/>
      <c r="M764" s="167"/>
      <c r="N764" s="167"/>
      <c r="O764" s="167"/>
      <c r="P764" s="173" t="s">
        <v>674</v>
      </c>
      <c r="Q764" s="173" t="s">
        <v>675</v>
      </c>
    </row>
    <row r="765" spans="1:17" s="44" customFormat="1" ht="30" customHeight="1" x14ac:dyDescent="0.35">
      <c r="A765" s="169" t="s">
        <v>680</v>
      </c>
      <c r="B765" s="148"/>
      <c r="C765" s="148"/>
      <c r="D765" s="148"/>
      <c r="E765" s="148"/>
      <c r="F765" s="175"/>
      <c r="G765" s="167"/>
      <c r="H765" s="167"/>
      <c r="I765" s="167"/>
      <c r="J765" s="167"/>
      <c r="K765" s="167"/>
      <c r="L765" s="167"/>
      <c r="M765" s="167"/>
      <c r="N765" s="167"/>
      <c r="O765" s="167"/>
      <c r="P765" s="173" t="s">
        <v>674</v>
      </c>
      <c r="Q765" s="173" t="s">
        <v>675</v>
      </c>
    </row>
    <row r="766" spans="1:17" s="44" customFormat="1" ht="30" customHeight="1" x14ac:dyDescent="0.35">
      <c r="A766" s="169" t="s">
        <v>681</v>
      </c>
      <c r="B766" s="148"/>
      <c r="C766" s="148"/>
      <c r="D766" s="148"/>
      <c r="E766" s="148"/>
      <c r="F766" s="175"/>
      <c r="G766" s="167"/>
      <c r="H766" s="167"/>
      <c r="I766" s="167"/>
      <c r="J766" s="167"/>
      <c r="K766" s="167"/>
      <c r="L766" s="167"/>
      <c r="M766" s="167"/>
      <c r="N766" s="167"/>
      <c r="O766" s="167"/>
      <c r="P766" s="173" t="s">
        <v>674</v>
      </c>
      <c r="Q766" s="173" t="s">
        <v>675</v>
      </c>
    </row>
    <row r="767" spans="1:17" s="44" customFormat="1" ht="30" customHeight="1" x14ac:dyDescent="0.35">
      <c r="A767" s="169" t="s">
        <v>682</v>
      </c>
      <c r="B767" s="148"/>
      <c r="C767" s="148"/>
      <c r="D767" s="148"/>
      <c r="E767" s="148"/>
      <c r="F767" s="175"/>
      <c r="G767" s="167"/>
      <c r="H767" s="167"/>
      <c r="I767" s="167"/>
      <c r="J767" s="167"/>
      <c r="K767" s="167"/>
      <c r="L767" s="167"/>
      <c r="M767" s="167"/>
      <c r="N767" s="167"/>
      <c r="O767" s="167"/>
      <c r="P767" s="173" t="s">
        <v>674</v>
      </c>
      <c r="Q767" s="173" t="s">
        <v>675</v>
      </c>
    </row>
    <row r="768" spans="1:17" s="44" customFormat="1" ht="30" customHeight="1" x14ac:dyDescent="0.35">
      <c r="A768" s="169" t="s">
        <v>683</v>
      </c>
      <c r="B768" s="148"/>
      <c r="C768" s="148"/>
      <c r="D768" s="148"/>
      <c r="E768" s="148"/>
      <c r="F768" s="175"/>
      <c r="G768" s="167"/>
      <c r="H768" s="167"/>
      <c r="I768" s="167"/>
      <c r="J768" s="167"/>
      <c r="K768" s="167"/>
      <c r="L768" s="167"/>
      <c r="M768" s="167"/>
      <c r="N768" s="167"/>
      <c r="O768" s="167"/>
      <c r="P768" s="173" t="s">
        <v>674</v>
      </c>
      <c r="Q768" s="173" t="s">
        <v>675</v>
      </c>
    </row>
    <row r="769" spans="1:17" s="44" customFormat="1" ht="30" customHeight="1" x14ac:dyDescent="0.35">
      <c r="A769" s="169" t="s">
        <v>684</v>
      </c>
      <c r="B769" s="148"/>
      <c r="C769" s="148"/>
      <c r="D769" s="148"/>
      <c r="E769" s="148"/>
      <c r="F769" s="175"/>
      <c r="G769" s="167"/>
      <c r="H769" s="167"/>
      <c r="I769" s="167"/>
      <c r="J769" s="167"/>
      <c r="K769" s="167"/>
      <c r="L769" s="167"/>
      <c r="M769" s="167"/>
      <c r="N769" s="167"/>
      <c r="O769" s="167"/>
      <c r="P769" s="173" t="s">
        <v>674</v>
      </c>
      <c r="Q769" s="173" t="s">
        <v>675</v>
      </c>
    </row>
    <row r="770" spans="1:17" s="44" customFormat="1" ht="30" customHeight="1" x14ac:dyDescent="0.35">
      <c r="A770" s="169" t="s">
        <v>685</v>
      </c>
      <c r="B770" s="148"/>
      <c r="C770" s="148"/>
      <c r="D770" s="148"/>
      <c r="E770" s="148"/>
      <c r="F770" s="175"/>
      <c r="G770" s="167"/>
      <c r="H770" s="167"/>
      <c r="I770" s="167"/>
      <c r="J770" s="167"/>
      <c r="K770" s="167"/>
      <c r="L770" s="167"/>
      <c r="M770" s="167"/>
      <c r="N770" s="167"/>
      <c r="O770" s="167"/>
      <c r="P770" s="173" t="s">
        <v>674</v>
      </c>
      <c r="Q770" s="173" t="s">
        <v>675</v>
      </c>
    </row>
    <row r="771" spans="1:17" s="44" customFormat="1" ht="30" customHeight="1" x14ac:dyDescent="0.35">
      <c r="A771" s="169" t="s">
        <v>686</v>
      </c>
      <c r="B771" s="148"/>
      <c r="C771" s="148"/>
      <c r="D771" s="148"/>
      <c r="E771" s="148"/>
      <c r="F771" s="175"/>
      <c r="G771" s="167"/>
      <c r="H771" s="167"/>
      <c r="I771" s="167"/>
      <c r="J771" s="167"/>
      <c r="K771" s="167"/>
      <c r="L771" s="167"/>
      <c r="M771" s="167"/>
      <c r="N771" s="167"/>
      <c r="O771" s="167"/>
      <c r="P771" s="173" t="s">
        <v>674</v>
      </c>
      <c r="Q771" s="173" t="s">
        <v>675</v>
      </c>
    </row>
    <row r="772" spans="1:17" s="44" customFormat="1" ht="30" customHeight="1" x14ac:dyDescent="0.35">
      <c r="A772" s="169" t="s">
        <v>687</v>
      </c>
      <c r="B772" s="148"/>
      <c r="C772" s="148"/>
      <c r="D772" s="148"/>
      <c r="E772" s="148"/>
      <c r="F772" s="175"/>
      <c r="G772" s="167"/>
      <c r="H772" s="167"/>
      <c r="I772" s="167"/>
      <c r="J772" s="167"/>
      <c r="K772" s="167"/>
      <c r="L772" s="167"/>
      <c r="M772" s="167"/>
      <c r="N772" s="167"/>
      <c r="O772" s="167"/>
      <c r="P772" s="173" t="s">
        <v>674</v>
      </c>
      <c r="Q772" s="173" t="s">
        <v>675</v>
      </c>
    </row>
    <row r="773" spans="1:17" s="44" customFormat="1" ht="30" customHeight="1" x14ac:dyDescent="0.35">
      <c r="A773" s="169" t="s">
        <v>688</v>
      </c>
      <c r="B773" s="148"/>
      <c r="C773" s="148"/>
      <c r="D773" s="148"/>
      <c r="E773" s="148"/>
      <c r="F773" s="175"/>
      <c r="G773" s="167"/>
      <c r="H773" s="167"/>
      <c r="I773" s="167"/>
      <c r="J773" s="167"/>
      <c r="K773" s="167"/>
      <c r="L773" s="167"/>
      <c r="M773" s="167"/>
      <c r="N773" s="167"/>
      <c r="O773" s="167"/>
      <c r="P773" s="173" t="s">
        <v>674</v>
      </c>
      <c r="Q773" s="173" t="s">
        <v>675</v>
      </c>
    </row>
    <row r="774" spans="1:17" s="44" customFormat="1" ht="30" customHeight="1" x14ac:dyDescent="0.35">
      <c r="A774" s="169" t="s">
        <v>689</v>
      </c>
      <c r="B774" s="148"/>
      <c r="C774" s="148"/>
      <c r="D774" s="148"/>
      <c r="E774" s="148"/>
      <c r="F774" s="175"/>
      <c r="G774" s="167"/>
      <c r="H774" s="167"/>
      <c r="I774" s="167"/>
      <c r="J774" s="167"/>
      <c r="K774" s="167"/>
      <c r="L774" s="167"/>
      <c r="M774" s="167"/>
      <c r="N774" s="167"/>
      <c r="O774" s="167"/>
      <c r="P774" s="173" t="s">
        <v>674</v>
      </c>
      <c r="Q774" s="173" t="s">
        <v>675</v>
      </c>
    </row>
    <row r="775" spans="1:17" s="44" customFormat="1" ht="30" customHeight="1" x14ac:dyDescent="0.35">
      <c r="A775" s="169" t="s">
        <v>690</v>
      </c>
      <c r="B775" s="148"/>
      <c r="C775" s="148"/>
      <c r="D775" s="148"/>
      <c r="E775" s="148"/>
      <c r="F775" s="175"/>
      <c r="G775" s="167"/>
      <c r="H775" s="167"/>
      <c r="I775" s="167"/>
      <c r="J775" s="167"/>
      <c r="K775" s="167"/>
      <c r="L775" s="167"/>
      <c r="M775" s="167"/>
      <c r="N775" s="167"/>
      <c r="O775" s="167"/>
      <c r="P775" s="173" t="s">
        <v>674</v>
      </c>
      <c r="Q775" s="173" t="s">
        <v>675</v>
      </c>
    </row>
    <row r="776" spans="1:17" s="44" customFormat="1" ht="30" customHeight="1" x14ac:dyDescent="0.35">
      <c r="A776" s="169" t="s">
        <v>691</v>
      </c>
      <c r="B776" s="148"/>
      <c r="C776" s="148"/>
      <c r="D776" s="148"/>
      <c r="E776" s="148"/>
      <c r="F776" s="175"/>
      <c r="G776" s="167"/>
      <c r="H776" s="167"/>
      <c r="I776" s="167"/>
      <c r="J776" s="167"/>
      <c r="K776" s="167"/>
      <c r="L776" s="167"/>
      <c r="M776" s="167"/>
      <c r="N776" s="167"/>
      <c r="O776" s="167"/>
      <c r="P776" s="173" t="s">
        <v>674</v>
      </c>
      <c r="Q776" s="173" t="s">
        <v>675</v>
      </c>
    </row>
    <row r="777" spans="1:17" s="44" customFormat="1" ht="30" customHeight="1" x14ac:dyDescent="0.35">
      <c r="A777" s="169" t="s">
        <v>692</v>
      </c>
      <c r="B777" s="148"/>
      <c r="C777" s="148"/>
      <c r="D777" s="148"/>
      <c r="E777" s="148"/>
      <c r="F777" s="175"/>
      <c r="G777" s="167"/>
      <c r="H777" s="167"/>
      <c r="I777" s="167"/>
      <c r="J777" s="167"/>
      <c r="K777" s="167"/>
      <c r="L777" s="167"/>
      <c r="M777" s="167"/>
      <c r="N777" s="167"/>
      <c r="O777" s="167"/>
      <c r="P777" s="173" t="s">
        <v>674</v>
      </c>
      <c r="Q777" s="173" t="s">
        <v>675</v>
      </c>
    </row>
    <row r="778" spans="1:17" s="44" customFormat="1" ht="30" customHeight="1" x14ac:dyDescent="0.35">
      <c r="A778" s="169" t="s">
        <v>693</v>
      </c>
      <c r="B778" s="148"/>
      <c r="C778" s="148"/>
      <c r="D778" s="148"/>
      <c r="E778" s="148"/>
      <c r="F778" s="175"/>
      <c r="G778" s="167"/>
      <c r="H778" s="167"/>
      <c r="I778" s="167"/>
      <c r="J778" s="167"/>
      <c r="K778" s="167"/>
      <c r="L778" s="167"/>
      <c r="M778" s="167"/>
      <c r="N778" s="167"/>
      <c r="O778" s="167"/>
      <c r="P778" s="173" t="s">
        <v>674</v>
      </c>
      <c r="Q778" s="173" t="s">
        <v>675</v>
      </c>
    </row>
    <row r="779" spans="1:17" s="44" customFormat="1" ht="30" customHeight="1" x14ac:dyDescent="0.35">
      <c r="A779" s="169" t="s">
        <v>694</v>
      </c>
      <c r="B779" s="148"/>
      <c r="C779" s="148"/>
      <c r="D779" s="148"/>
      <c r="E779" s="148"/>
      <c r="F779" s="175"/>
      <c r="G779" s="167"/>
      <c r="H779" s="167"/>
      <c r="I779" s="167"/>
      <c r="J779" s="167"/>
      <c r="K779" s="167"/>
      <c r="L779" s="167"/>
      <c r="M779" s="167"/>
      <c r="N779" s="167"/>
      <c r="O779" s="167"/>
      <c r="P779" s="173" t="s">
        <v>674</v>
      </c>
      <c r="Q779" s="173" t="s">
        <v>675</v>
      </c>
    </row>
    <row r="780" spans="1:17" s="44" customFormat="1" ht="30" customHeight="1" x14ac:dyDescent="0.35">
      <c r="A780" s="169" t="s">
        <v>695</v>
      </c>
      <c r="B780" s="148"/>
      <c r="C780" s="148"/>
      <c r="D780" s="148"/>
      <c r="E780" s="148"/>
      <c r="F780" s="175"/>
      <c r="G780" s="167"/>
      <c r="H780" s="167"/>
      <c r="I780" s="167"/>
      <c r="J780" s="167"/>
      <c r="K780" s="167"/>
      <c r="L780" s="167"/>
      <c r="M780" s="167"/>
      <c r="N780" s="167"/>
      <c r="O780" s="167"/>
      <c r="P780" s="173" t="s">
        <v>674</v>
      </c>
      <c r="Q780" s="173" t="s">
        <v>675</v>
      </c>
    </row>
    <row r="781" spans="1:17" s="44" customFormat="1" ht="30" customHeight="1" x14ac:dyDescent="0.35">
      <c r="A781" s="169" t="s">
        <v>696</v>
      </c>
      <c r="B781" s="148"/>
      <c r="C781" s="148"/>
      <c r="D781" s="148"/>
      <c r="E781" s="148"/>
      <c r="F781" s="175"/>
      <c r="G781" s="167"/>
      <c r="H781" s="167"/>
      <c r="I781" s="167"/>
      <c r="J781" s="167"/>
      <c r="K781" s="167"/>
      <c r="L781" s="167"/>
      <c r="M781" s="167"/>
      <c r="N781" s="167"/>
      <c r="O781" s="167"/>
      <c r="P781" s="173" t="s">
        <v>674</v>
      </c>
      <c r="Q781" s="173" t="s">
        <v>675</v>
      </c>
    </row>
    <row r="782" spans="1:17" s="44" customFormat="1" ht="30" customHeight="1" x14ac:dyDescent="0.35">
      <c r="A782" s="169" t="s">
        <v>697</v>
      </c>
      <c r="B782" s="148"/>
      <c r="C782" s="148"/>
      <c r="D782" s="148"/>
      <c r="E782" s="148"/>
      <c r="F782" s="175"/>
      <c r="G782" s="167"/>
      <c r="H782" s="167"/>
      <c r="I782" s="167"/>
      <c r="J782" s="167"/>
      <c r="K782" s="167"/>
      <c r="L782" s="167"/>
      <c r="M782" s="167"/>
      <c r="N782" s="167"/>
      <c r="O782" s="167"/>
      <c r="P782" s="173" t="s">
        <v>674</v>
      </c>
      <c r="Q782" s="173" t="s">
        <v>675</v>
      </c>
    </row>
    <row r="783" spans="1:17" s="44" customFormat="1" ht="30" customHeight="1" x14ac:dyDescent="0.35">
      <c r="A783" s="169" t="s">
        <v>698</v>
      </c>
      <c r="B783" s="148"/>
      <c r="C783" s="148"/>
      <c r="D783" s="148"/>
      <c r="E783" s="148"/>
      <c r="F783" s="175"/>
      <c r="G783" s="167"/>
      <c r="H783" s="167"/>
      <c r="I783" s="167"/>
      <c r="J783" s="167"/>
      <c r="K783" s="167"/>
      <c r="L783" s="167"/>
      <c r="M783" s="167"/>
      <c r="N783" s="167"/>
      <c r="O783" s="167"/>
      <c r="P783" s="173" t="s">
        <v>674</v>
      </c>
      <c r="Q783" s="173" t="s">
        <v>675</v>
      </c>
    </row>
    <row r="784" spans="1:17" s="44" customFormat="1" ht="30" customHeight="1" x14ac:dyDescent="0.35">
      <c r="A784" s="169" t="s">
        <v>699</v>
      </c>
      <c r="B784" s="148"/>
      <c r="C784" s="148"/>
      <c r="D784" s="148"/>
      <c r="E784" s="148"/>
      <c r="F784" s="175"/>
      <c r="G784" s="167"/>
      <c r="H784" s="167"/>
      <c r="I784" s="167"/>
      <c r="J784" s="167"/>
      <c r="K784" s="167"/>
      <c r="L784" s="167"/>
      <c r="M784" s="167"/>
      <c r="N784" s="167"/>
      <c r="O784" s="167"/>
      <c r="P784" s="173" t="s">
        <v>674</v>
      </c>
      <c r="Q784" s="173" t="s">
        <v>675</v>
      </c>
    </row>
    <row r="785" spans="1:17" s="44" customFormat="1" ht="30" customHeight="1" x14ac:dyDescent="0.35">
      <c r="A785" s="169" t="s">
        <v>700</v>
      </c>
      <c r="B785" s="148"/>
      <c r="C785" s="148"/>
      <c r="D785" s="148"/>
      <c r="E785" s="148"/>
      <c r="F785" s="175"/>
      <c r="G785" s="167"/>
      <c r="H785" s="167"/>
      <c r="I785" s="167"/>
      <c r="J785" s="167"/>
      <c r="K785" s="167"/>
      <c r="L785" s="167"/>
      <c r="M785" s="167"/>
      <c r="N785" s="167"/>
      <c r="O785" s="167"/>
      <c r="P785" s="173" t="s">
        <v>674</v>
      </c>
      <c r="Q785" s="173" t="s">
        <v>675</v>
      </c>
    </row>
    <row r="786" spans="1:17" s="44" customFormat="1" ht="30" customHeight="1" x14ac:dyDescent="0.35">
      <c r="A786" s="169" t="s">
        <v>701</v>
      </c>
      <c r="B786" s="148"/>
      <c r="C786" s="148"/>
      <c r="D786" s="148"/>
      <c r="E786" s="148"/>
      <c r="F786" s="175"/>
      <c r="G786" s="167"/>
      <c r="H786" s="167"/>
      <c r="I786" s="167"/>
      <c r="J786" s="167"/>
      <c r="K786" s="167"/>
      <c r="L786" s="167"/>
      <c r="M786" s="167"/>
      <c r="N786" s="167"/>
      <c r="O786" s="167"/>
      <c r="P786" s="173" t="s">
        <v>674</v>
      </c>
      <c r="Q786" s="173" t="s">
        <v>675</v>
      </c>
    </row>
    <row r="787" spans="1:17" s="44" customFormat="1" ht="30" customHeight="1" x14ac:dyDescent="0.35">
      <c r="A787" s="169" t="s">
        <v>702</v>
      </c>
      <c r="B787" s="148"/>
      <c r="C787" s="148"/>
      <c r="D787" s="148"/>
      <c r="E787" s="148"/>
      <c r="F787" s="175"/>
      <c r="G787" s="167"/>
      <c r="H787" s="167"/>
      <c r="I787" s="167"/>
      <c r="J787" s="167"/>
      <c r="K787" s="167"/>
      <c r="L787" s="167"/>
      <c r="M787" s="167"/>
      <c r="N787" s="167"/>
      <c r="O787" s="167"/>
      <c r="P787" s="173" t="s">
        <v>674</v>
      </c>
      <c r="Q787" s="173" t="s">
        <v>675</v>
      </c>
    </row>
    <row r="788" spans="1:17" s="44" customFormat="1" ht="30" customHeight="1" x14ac:dyDescent="0.35">
      <c r="A788" s="169" t="s">
        <v>703</v>
      </c>
      <c r="B788" s="148"/>
      <c r="C788" s="148"/>
      <c r="D788" s="148"/>
      <c r="E788" s="148"/>
      <c r="F788" s="175"/>
      <c r="G788" s="167"/>
      <c r="H788" s="167"/>
      <c r="I788" s="167"/>
      <c r="J788" s="167"/>
      <c r="K788" s="167"/>
      <c r="L788" s="167"/>
      <c r="M788" s="167"/>
      <c r="N788" s="167"/>
      <c r="O788" s="167"/>
      <c r="P788" s="173" t="s">
        <v>674</v>
      </c>
      <c r="Q788" s="173" t="s">
        <v>675</v>
      </c>
    </row>
    <row r="789" spans="1:17" s="44" customFormat="1" ht="30" customHeight="1" x14ac:dyDescent="0.35">
      <c r="A789" s="169" t="s">
        <v>704</v>
      </c>
      <c r="B789" s="148"/>
      <c r="C789" s="148"/>
      <c r="D789" s="148"/>
      <c r="E789" s="148"/>
      <c r="F789" s="175"/>
      <c r="G789" s="167"/>
      <c r="H789" s="167"/>
      <c r="I789" s="167"/>
      <c r="J789" s="167"/>
      <c r="K789" s="167"/>
      <c r="L789" s="167"/>
      <c r="M789" s="167"/>
      <c r="N789" s="167"/>
      <c r="O789" s="167"/>
      <c r="P789" s="173" t="s">
        <v>674</v>
      </c>
      <c r="Q789" s="173" t="s">
        <v>675</v>
      </c>
    </row>
    <row r="790" spans="1:17" s="44" customFormat="1" ht="30" customHeight="1" x14ac:dyDescent="0.35">
      <c r="A790" s="169" t="s">
        <v>705</v>
      </c>
      <c r="B790" s="148"/>
      <c r="C790" s="148"/>
      <c r="D790" s="148"/>
      <c r="E790" s="148"/>
      <c r="F790" s="175"/>
      <c r="G790" s="167"/>
      <c r="H790" s="167"/>
      <c r="I790" s="167"/>
      <c r="J790" s="167"/>
      <c r="K790" s="167"/>
      <c r="L790" s="167"/>
      <c r="M790" s="167"/>
      <c r="N790" s="167"/>
      <c r="O790" s="167"/>
      <c r="P790" s="173" t="s">
        <v>674</v>
      </c>
      <c r="Q790" s="173" t="s">
        <v>675</v>
      </c>
    </row>
    <row r="791" spans="1:17" s="44" customFormat="1" ht="30" customHeight="1" x14ac:dyDescent="0.35">
      <c r="A791" s="169" t="s">
        <v>706</v>
      </c>
      <c r="B791" s="148"/>
      <c r="C791" s="148"/>
      <c r="D791" s="148"/>
      <c r="E791" s="148"/>
      <c r="F791" s="175"/>
      <c r="G791" s="167"/>
      <c r="H791" s="167"/>
      <c r="I791" s="167"/>
      <c r="J791" s="167"/>
      <c r="K791" s="167"/>
      <c r="L791" s="167"/>
      <c r="M791" s="167"/>
      <c r="N791" s="167"/>
      <c r="O791" s="167"/>
      <c r="P791" s="173" t="s">
        <v>674</v>
      </c>
      <c r="Q791" s="173" t="s">
        <v>675</v>
      </c>
    </row>
    <row r="792" spans="1:17" s="44" customFormat="1" ht="30" customHeight="1" x14ac:dyDescent="0.35">
      <c r="A792" s="169" t="s">
        <v>707</v>
      </c>
      <c r="B792" s="148"/>
      <c r="C792" s="148"/>
      <c r="D792" s="148"/>
      <c r="E792" s="148"/>
      <c r="F792" s="175"/>
      <c r="G792" s="167"/>
      <c r="H792" s="167"/>
      <c r="I792" s="167"/>
      <c r="J792" s="167"/>
      <c r="K792" s="167"/>
      <c r="L792" s="167"/>
      <c r="M792" s="167"/>
      <c r="N792" s="167"/>
      <c r="O792" s="167"/>
      <c r="P792" s="173" t="s">
        <v>674</v>
      </c>
      <c r="Q792" s="173" t="s">
        <v>675</v>
      </c>
    </row>
    <row r="793" spans="1:17" s="44" customFormat="1" ht="30" customHeight="1" x14ac:dyDescent="0.35">
      <c r="A793" s="169" t="s">
        <v>708</v>
      </c>
      <c r="B793" s="148"/>
      <c r="C793" s="148"/>
      <c r="D793" s="148"/>
      <c r="E793" s="148"/>
      <c r="F793" s="175"/>
      <c r="G793" s="167"/>
      <c r="H793" s="167"/>
      <c r="I793" s="167"/>
      <c r="J793" s="167"/>
      <c r="K793" s="167"/>
      <c r="L793" s="167"/>
      <c r="M793" s="167"/>
      <c r="N793" s="167"/>
      <c r="O793" s="167"/>
      <c r="P793" s="173" t="s">
        <v>674</v>
      </c>
      <c r="Q793" s="173" t="s">
        <v>675</v>
      </c>
    </row>
    <row r="794" spans="1:17" s="44" customFormat="1" ht="30" customHeight="1" x14ac:dyDescent="0.35">
      <c r="A794" s="169" t="s">
        <v>709</v>
      </c>
      <c r="B794" s="148"/>
      <c r="C794" s="148"/>
      <c r="D794" s="148"/>
      <c r="E794" s="148"/>
      <c r="F794" s="175"/>
      <c r="G794" s="167"/>
      <c r="H794" s="167"/>
      <c r="I794" s="167"/>
      <c r="J794" s="167"/>
      <c r="K794" s="167"/>
      <c r="L794" s="167"/>
      <c r="M794" s="167"/>
      <c r="N794" s="167"/>
      <c r="O794" s="167"/>
      <c r="P794" s="173" t="s">
        <v>674</v>
      </c>
      <c r="Q794" s="173" t="s">
        <v>675</v>
      </c>
    </row>
    <row r="795" spans="1:17" s="44" customFormat="1" ht="30" customHeight="1" x14ac:dyDescent="0.35">
      <c r="A795" s="169" t="s">
        <v>710</v>
      </c>
      <c r="B795" s="148"/>
      <c r="C795" s="148"/>
      <c r="D795" s="148"/>
      <c r="E795" s="148"/>
      <c r="F795" s="175"/>
      <c r="G795" s="167"/>
      <c r="H795" s="167"/>
      <c r="I795" s="167"/>
      <c r="J795" s="167"/>
      <c r="K795" s="167"/>
      <c r="L795" s="167"/>
      <c r="M795" s="167"/>
      <c r="N795" s="167"/>
      <c r="O795" s="167"/>
      <c r="P795" s="173" t="s">
        <v>674</v>
      </c>
      <c r="Q795" s="173" t="s">
        <v>675</v>
      </c>
    </row>
    <row r="796" spans="1:17" s="44" customFormat="1" ht="30" customHeight="1" x14ac:dyDescent="0.35">
      <c r="A796" s="169" t="s">
        <v>711</v>
      </c>
      <c r="B796" s="148"/>
      <c r="C796" s="148"/>
      <c r="D796" s="148"/>
      <c r="E796" s="148"/>
      <c r="F796" s="175"/>
      <c r="G796" s="167"/>
      <c r="H796" s="167"/>
      <c r="I796" s="167"/>
      <c r="J796" s="167"/>
      <c r="K796" s="167"/>
      <c r="L796" s="167"/>
      <c r="M796" s="167"/>
      <c r="N796" s="167"/>
      <c r="O796" s="167"/>
      <c r="P796" s="173" t="s">
        <v>674</v>
      </c>
      <c r="Q796" s="173" t="s">
        <v>675</v>
      </c>
    </row>
    <row r="797" spans="1:17" s="44" customFormat="1" ht="30" customHeight="1" x14ac:dyDescent="0.35">
      <c r="A797" s="169" t="s">
        <v>712</v>
      </c>
      <c r="B797" s="148"/>
      <c r="C797" s="148"/>
      <c r="D797" s="148"/>
      <c r="E797" s="148"/>
      <c r="F797" s="175"/>
      <c r="G797" s="167"/>
      <c r="H797" s="167"/>
      <c r="I797" s="167"/>
      <c r="J797" s="167"/>
      <c r="K797" s="167"/>
      <c r="L797" s="167"/>
      <c r="M797" s="167"/>
      <c r="N797" s="167"/>
      <c r="O797" s="167"/>
      <c r="P797" s="173" t="s">
        <v>674</v>
      </c>
      <c r="Q797" s="173" t="s">
        <v>675</v>
      </c>
    </row>
    <row r="798" spans="1:17" s="44" customFormat="1" ht="30" customHeight="1" x14ac:dyDescent="0.35">
      <c r="A798" s="169" t="s">
        <v>713</v>
      </c>
      <c r="B798" s="148"/>
      <c r="C798" s="148"/>
      <c r="D798" s="148"/>
      <c r="E798" s="148"/>
      <c r="F798" s="175"/>
      <c r="G798" s="167"/>
      <c r="H798" s="167"/>
      <c r="I798" s="167"/>
      <c r="J798" s="167"/>
      <c r="K798" s="167"/>
      <c r="L798" s="167"/>
      <c r="M798" s="167"/>
      <c r="N798" s="167"/>
      <c r="O798" s="167"/>
      <c r="P798" s="173" t="s">
        <v>674</v>
      </c>
      <c r="Q798" s="173" t="s">
        <v>675</v>
      </c>
    </row>
    <row r="799" spans="1:17" s="44" customFormat="1" ht="30" customHeight="1" x14ac:dyDescent="0.35">
      <c r="A799" s="169" t="s">
        <v>714</v>
      </c>
      <c r="B799" s="148"/>
      <c r="C799" s="148"/>
      <c r="D799" s="148"/>
      <c r="E799" s="148"/>
      <c r="F799" s="175"/>
      <c r="G799" s="167"/>
      <c r="H799" s="167"/>
      <c r="I799" s="167"/>
      <c r="J799" s="167"/>
      <c r="K799" s="167"/>
      <c r="L799" s="167"/>
      <c r="M799" s="167"/>
      <c r="N799" s="167"/>
      <c r="O799" s="167"/>
      <c r="P799" s="173" t="s">
        <v>674</v>
      </c>
      <c r="Q799" s="173" t="s">
        <v>675</v>
      </c>
    </row>
    <row r="800" spans="1:17" s="44" customFormat="1" ht="30" customHeight="1" x14ac:dyDescent="0.35">
      <c r="A800" s="169" t="s">
        <v>715</v>
      </c>
      <c r="B800" s="148"/>
      <c r="C800" s="148"/>
      <c r="D800" s="148"/>
      <c r="E800" s="148"/>
      <c r="F800" s="175"/>
      <c r="G800" s="167"/>
      <c r="H800" s="167"/>
      <c r="I800" s="167"/>
      <c r="J800" s="167"/>
      <c r="K800" s="167"/>
      <c r="L800" s="167"/>
      <c r="M800" s="167"/>
      <c r="N800" s="167"/>
      <c r="O800" s="167"/>
      <c r="P800" s="173" t="s">
        <v>674</v>
      </c>
      <c r="Q800" s="173" t="s">
        <v>675</v>
      </c>
    </row>
    <row r="801" spans="1:17" s="44" customFormat="1" ht="30" customHeight="1" x14ac:dyDescent="0.35">
      <c r="A801" s="169" t="s">
        <v>716</v>
      </c>
      <c r="B801" s="148"/>
      <c r="C801" s="148"/>
      <c r="D801" s="148"/>
      <c r="E801" s="148"/>
      <c r="F801" s="175"/>
      <c r="G801" s="167"/>
      <c r="H801" s="167"/>
      <c r="I801" s="167"/>
      <c r="J801" s="167"/>
      <c r="K801" s="167"/>
      <c r="L801" s="167"/>
      <c r="M801" s="167"/>
      <c r="N801" s="167"/>
      <c r="O801" s="167"/>
      <c r="P801" s="173" t="s">
        <v>674</v>
      </c>
      <c r="Q801" s="173" t="s">
        <v>675</v>
      </c>
    </row>
    <row r="802" spans="1:17" s="44" customFormat="1" ht="30" customHeight="1" x14ac:dyDescent="0.35">
      <c r="A802" s="169" t="s">
        <v>717</v>
      </c>
      <c r="B802" s="148"/>
      <c r="C802" s="148"/>
      <c r="D802" s="148"/>
      <c r="E802" s="148"/>
      <c r="F802" s="175"/>
      <c r="G802" s="167"/>
      <c r="H802" s="167"/>
      <c r="I802" s="167"/>
      <c r="J802" s="167"/>
      <c r="K802" s="167"/>
      <c r="L802" s="167"/>
      <c r="M802" s="167"/>
      <c r="N802" s="167"/>
      <c r="O802" s="167"/>
      <c r="P802" s="173" t="s">
        <v>674</v>
      </c>
      <c r="Q802" s="173" t="s">
        <v>675</v>
      </c>
    </row>
    <row r="803" spans="1:17" s="44" customFormat="1" ht="30" customHeight="1" x14ac:dyDescent="0.35">
      <c r="A803" s="169" t="s">
        <v>718</v>
      </c>
      <c r="B803" s="148"/>
      <c r="C803" s="148"/>
      <c r="D803" s="148"/>
      <c r="E803" s="148"/>
      <c r="F803" s="175"/>
      <c r="G803" s="167"/>
      <c r="H803" s="167"/>
      <c r="I803" s="167"/>
      <c r="J803" s="167"/>
      <c r="K803" s="167"/>
      <c r="L803" s="167"/>
      <c r="M803" s="167"/>
      <c r="N803" s="167"/>
      <c r="O803" s="167"/>
      <c r="P803" s="173" t="s">
        <v>674</v>
      </c>
      <c r="Q803" s="173" t="s">
        <v>675</v>
      </c>
    </row>
    <row r="804" spans="1:17" s="44" customFormat="1" ht="30" customHeight="1" x14ac:dyDescent="0.35">
      <c r="A804" s="169" t="s">
        <v>719</v>
      </c>
      <c r="B804" s="148"/>
      <c r="C804" s="148"/>
      <c r="D804" s="148"/>
      <c r="E804" s="148"/>
      <c r="F804" s="175"/>
      <c r="G804" s="167"/>
      <c r="H804" s="167"/>
      <c r="I804" s="167"/>
      <c r="J804" s="167"/>
      <c r="K804" s="167"/>
      <c r="L804" s="167"/>
      <c r="M804" s="167"/>
      <c r="N804" s="167"/>
      <c r="O804" s="167"/>
      <c r="P804" s="173" t="s">
        <v>674</v>
      </c>
      <c r="Q804" s="173" t="s">
        <v>675</v>
      </c>
    </row>
    <row r="805" spans="1:17" s="44" customFormat="1" ht="30" customHeight="1" x14ac:dyDescent="0.35">
      <c r="A805" s="169" t="s">
        <v>720</v>
      </c>
      <c r="B805" s="148"/>
      <c r="C805" s="148"/>
      <c r="D805" s="148"/>
      <c r="E805" s="148"/>
      <c r="F805" s="175"/>
      <c r="G805" s="167"/>
      <c r="H805" s="167"/>
      <c r="I805" s="167"/>
      <c r="J805" s="167"/>
      <c r="K805" s="167"/>
      <c r="L805" s="167"/>
      <c r="M805" s="167"/>
      <c r="N805" s="167"/>
      <c r="O805" s="167"/>
      <c r="P805" s="173" t="s">
        <v>674</v>
      </c>
      <c r="Q805" s="173" t="s">
        <v>675</v>
      </c>
    </row>
    <row r="806" spans="1:17" s="44" customFormat="1" ht="30" customHeight="1" x14ac:dyDescent="0.35">
      <c r="A806" s="169" t="s">
        <v>721</v>
      </c>
      <c r="B806" s="148"/>
      <c r="C806" s="148"/>
      <c r="D806" s="148"/>
      <c r="E806" s="148"/>
      <c r="F806" s="175"/>
      <c r="G806" s="167"/>
      <c r="H806" s="167"/>
      <c r="I806" s="167"/>
      <c r="J806" s="167"/>
      <c r="K806" s="167"/>
      <c r="L806" s="167"/>
      <c r="M806" s="167"/>
      <c r="N806" s="167"/>
      <c r="O806" s="167"/>
      <c r="P806" s="173" t="s">
        <v>674</v>
      </c>
      <c r="Q806" s="173" t="s">
        <v>675</v>
      </c>
    </row>
    <row r="807" spans="1:17" s="44" customFormat="1" ht="30" customHeight="1" x14ac:dyDescent="0.35">
      <c r="A807" s="169" t="s">
        <v>722</v>
      </c>
      <c r="B807" s="148"/>
      <c r="C807" s="148"/>
      <c r="D807" s="148"/>
      <c r="E807" s="148"/>
      <c r="F807" s="175"/>
      <c r="G807" s="167"/>
      <c r="H807" s="167"/>
      <c r="I807" s="167"/>
      <c r="J807" s="167"/>
      <c r="K807" s="167"/>
      <c r="L807" s="167"/>
      <c r="M807" s="167"/>
      <c r="N807" s="167"/>
      <c r="O807" s="167"/>
      <c r="P807" s="173" t="s">
        <v>674</v>
      </c>
      <c r="Q807" s="173" t="s">
        <v>675</v>
      </c>
    </row>
    <row r="808" spans="1:17" s="44" customFormat="1" ht="30" customHeight="1" x14ac:dyDescent="0.35">
      <c r="A808" s="169" t="s">
        <v>723</v>
      </c>
      <c r="B808" s="148"/>
      <c r="C808" s="148"/>
      <c r="D808" s="148"/>
      <c r="E808" s="148"/>
      <c r="F808" s="175"/>
      <c r="G808" s="167"/>
      <c r="H808" s="167"/>
      <c r="I808" s="167"/>
      <c r="J808" s="167"/>
      <c r="K808" s="167"/>
      <c r="L808" s="167"/>
      <c r="M808" s="167"/>
      <c r="N808" s="167"/>
      <c r="O808" s="167"/>
      <c r="P808" s="173" t="s">
        <v>674</v>
      </c>
      <c r="Q808" s="173" t="s">
        <v>675</v>
      </c>
    </row>
    <row r="809" spans="1:17" s="44" customFormat="1" ht="30" customHeight="1" x14ac:dyDescent="0.35">
      <c r="A809" s="169" t="s">
        <v>724</v>
      </c>
      <c r="B809" s="148"/>
      <c r="C809" s="148"/>
      <c r="D809" s="148"/>
      <c r="E809" s="148"/>
      <c r="F809" s="175"/>
      <c r="G809" s="167"/>
      <c r="H809" s="167"/>
      <c r="I809" s="167"/>
      <c r="J809" s="167"/>
      <c r="K809" s="167"/>
      <c r="L809" s="167"/>
      <c r="M809" s="167"/>
      <c r="N809" s="167"/>
      <c r="O809" s="167"/>
      <c r="P809" s="173" t="s">
        <v>674</v>
      </c>
      <c r="Q809" s="173" t="s">
        <v>675</v>
      </c>
    </row>
    <row r="810" spans="1:17" s="44" customFormat="1" ht="30" customHeight="1" x14ac:dyDescent="0.35">
      <c r="A810" s="169" t="s">
        <v>725</v>
      </c>
      <c r="B810" s="148"/>
      <c r="C810" s="148"/>
      <c r="D810" s="148"/>
      <c r="E810" s="148"/>
      <c r="F810" s="175"/>
      <c r="G810" s="167"/>
      <c r="H810" s="167"/>
      <c r="I810" s="167"/>
      <c r="J810" s="167"/>
      <c r="K810" s="167"/>
      <c r="L810" s="167"/>
      <c r="M810" s="167"/>
      <c r="N810" s="167"/>
      <c r="O810" s="167"/>
      <c r="P810" s="173" t="s">
        <v>674</v>
      </c>
      <c r="Q810" s="173" t="s">
        <v>675</v>
      </c>
    </row>
    <row r="811" spans="1:17" s="44" customFormat="1" ht="30" customHeight="1" x14ac:dyDescent="0.35">
      <c r="A811" s="169" t="s">
        <v>726</v>
      </c>
      <c r="B811" s="148"/>
      <c r="C811" s="148"/>
      <c r="D811" s="148"/>
      <c r="E811" s="148"/>
      <c r="F811" s="175"/>
      <c r="G811" s="167"/>
      <c r="H811" s="167"/>
      <c r="I811" s="167"/>
      <c r="J811" s="167"/>
      <c r="K811" s="167"/>
      <c r="L811" s="167"/>
      <c r="M811" s="167"/>
      <c r="N811" s="167"/>
      <c r="O811" s="167"/>
      <c r="P811" s="173" t="s">
        <v>674</v>
      </c>
      <c r="Q811" s="173" t="s">
        <v>675</v>
      </c>
    </row>
    <row r="812" spans="1:17" s="44" customFormat="1" ht="30" customHeight="1" x14ac:dyDescent="0.35">
      <c r="A812" s="169" t="s">
        <v>727</v>
      </c>
      <c r="B812" s="148"/>
      <c r="C812" s="148"/>
      <c r="D812" s="148"/>
      <c r="E812" s="148"/>
      <c r="F812" s="175"/>
      <c r="G812" s="167"/>
      <c r="H812" s="167"/>
      <c r="I812" s="167"/>
      <c r="J812" s="167"/>
      <c r="K812" s="167"/>
      <c r="L812" s="167"/>
      <c r="M812" s="167"/>
      <c r="N812" s="167"/>
      <c r="O812" s="167"/>
      <c r="P812" s="173" t="s">
        <v>674</v>
      </c>
      <c r="Q812" s="173" t="s">
        <v>675</v>
      </c>
    </row>
    <row r="813" spans="1:17" s="44" customFormat="1" ht="30" customHeight="1" x14ac:dyDescent="0.35">
      <c r="A813" s="169" t="s">
        <v>728</v>
      </c>
      <c r="B813" s="148"/>
      <c r="C813" s="148"/>
      <c r="D813" s="148"/>
      <c r="E813" s="148"/>
      <c r="F813" s="175"/>
      <c r="G813" s="167"/>
      <c r="H813" s="167"/>
      <c r="I813" s="167"/>
      <c r="J813" s="167"/>
      <c r="K813" s="167"/>
      <c r="L813" s="167"/>
      <c r="M813" s="167"/>
      <c r="N813" s="167"/>
      <c r="O813" s="167"/>
      <c r="P813" s="173" t="s">
        <v>674</v>
      </c>
      <c r="Q813" s="173" t="s">
        <v>675</v>
      </c>
    </row>
    <row r="814" spans="1:17" s="44" customFormat="1" ht="30" customHeight="1" x14ac:dyDescent="0.35">
      <c r="A814" s="169" t="s">
        <v>729</v>
      </c>
      <c r="B814" s="148"/>
      <c r="C814" s="148"/>
      <c r="D814" s="148"/>
      <c r="E814" s="148"/>
      <c r="F814" s="175"/>
      <c r="G814" s="167"/>
      <c r="H814" s="167"/>
      <c r="I814" s="167"/>
      <c r="J814" s="167"/>
      <c r="K814" s="167"/>
      <c r="L814" s="167"/>
      <c r="M814" s="167"/>
      <c r="N814" s="167"/>
      <c r="O814" s="167"/>
      <c r="P814" s="173" t="s">
        <v>674</v>
      </c>
      <c r="Q814" s="173" t="s">
        <v>675</v>
      </c>
    </row>
    <row r="815" spans="1:17" s="44" customFormat="1" ht="30" customHeight="1" x14ac:dyDescent="0.35">
      <c r="A815" s="169" t="s">
        <v>730</v>
      </c>
      <c r="B815" s="148"/>
      <c r="C815" s="148"/>
      <c r="D815" s="148"/>
      <c r="E815" s="148"/>
      <c r="F815" s="175"/>
      <c r="G815" s="167"/>
      <c r="H815" s="167"/>
      <c r="I815" s="167"/>
      <c r="J815" s="167"/>
      <c r="K815" s="167"/>
      <c r="L815" s="167"/>
      <c r="M815" s="167"/>
      <c r="N815" s="167"/>
      <c r="O815" s="167"/>
      <c r="P815" s="173" t="s">
        <v>674</v>
      </c>
      <c r="Q815" s="173" t="s">
        <v>675</v>
      </c>
    </row>
    <row r="816" spans="1:17" s="44" customFormat="1" ht="30" customHeight="1" x14ac:dyDescent="0.35">
      <c r="A816" s="169" t="s">
        <v>731</v>
      </c>
      <c r="B816" s="148"/>
      <c r="C816" s="148"/>
      <c r="D816" s="148"/>
      <c r="E816" s="148"/>
      <c r="F816" s="175"/>
      <c r="G816" s="167"/>
      <c r="H816" s="167"/>
      <c r="I816" s="167"/>
      <c r="J816" s="167"/>
      <c r="K816" s="167"/>
      <c r="L816" s="167"/>
      <c r="M816" s="167"/>
      <c r="N816" s="167"/>
      <c r="O816" s="167"/>
      <c r="P816" s="173" t="s">
        <v>674</v>
      </c>
      <c r="Q816" s="173" t="s">
        <v>675</v>
      </c>
    </row>
    <row r="817" spans="1:17" s="44" customFormat="1" ht="30" customHeight="1" x14ac:dyDescent="0.35">
      <c r="A817" s="169" t="s">
        <v>732</v>
      </c>
      <c r="B817" s="148"/>
      <c r="C817" s="148"/>
      <c r="D817" s="148"/>
      <c r="E817" s="148"/>
      <c r="F817" s="175"/>
      <c r="G817" s="167"/>
      <c r="H817" s="167"/>
      <c r="I817" s="167"/>
      <c r="J817" s="167"/>
      <c r="K817" s="167"/>
      <c r="L817" s="167"/>
      <c r="M817" s="167"/>
      <c r="N817" s="167"/>
      <c r="O817" s="167"/>
      <c r="P817" s="173" t="s">
        <v>674</v>
      </c>
      <c r="Q817" s="173" t="s">
        <v>675</v>
      </c>
    </row>
    <row r="818" spans="1:17" s="44" customFormat="1" ht="30" customHeight="1" x14ac:dyDescent="0.35">
      <c r="A818" s="169" t="s">
        <v>733</v>
      </c>
      <c r="B818" s="148"/>
      <c r="C818" s="148"/>
      <c r="D818" s="148"/>
      <c r="E818" s="148"/>
      <c r="F818" s="175"/>
      <c r="G818" s="167"/>
      <c r="H818" s="167"/>
      <c r="I818" s="167"/>
      <c r="J818" s="167"/>
      <c r="K818" s="167"/>
      <c r="L818" s="167"/>
      <c r="M818" s="167"/>
      <c r="N818" s="167"/>
      <c r="O818" s="167"/>
      <c r="P818" s="173" t="s">
        <v>674</v>
      </c>
      <c r="Q818" s="173" t="s">
        <v>675</v>
      </c>
    </row>
    <row r="819" spans="1:17" s="44" customFormat="1" ht="30" customHeight="1" x14ac:dyDescent="0.35">
      <c r="A819" s="169" t="s">
        <v>734</v>
      </c>
      <c r="B819" s="148"/>
      <c r="C819" s="148"/>
      <c r="D819" s="148"/>
      <c r="E819" s="148"/>
      <c r="F819" s="175"/>
      <c r="G819" s="167"/>
      <c r="H819" s="167"/>
      <c r="I819" s="167"/>
      <c r="J819" s="167"/>
      <c r="K819" s="167"/>
      <c r="L819" s="167"/>
      <c r="M819" s="167"/>
      <c r="N819" s="167"/>
      <c r="O819" s="167"/>
      <c r="P819" s="173" t="s">
        <v>674</v>
      </c>
      <c r="Q819" s="173" t="s">
        <v>675</v>
      </c>
    </row>
    <row r="820" spans="1:17" s="44" customFormat="1" ht="30" customHeight="1" x14ac:dyDescent="0.35">
      <c r="A820" s="169" t="s">
        <v>735</v>
      </c>
      <c r="B820" s="148"/>
      <c r="C820" s="148"/>
      <c r="D820" s="148"/>
      <c r="E820" s="148"/>
      <c r="F820" s="175"/>
      <c r="G820" s="167"/>
      <c r="H820" s="167"/>
      <c r="I820" s="167"/>
      <c r="J820" s="167"/>
      <c r="K820" s="167"/>
      <c r="L820" s="167"/>
      <c r="M820" s="167"/>
      <c r="N820" s="167"/>
      <c r="O820" s="167"/>
      <c r="P820" s="173" t="s">
        <v>674</v>
      </c>
      <c r="Q820" s="173" t="s">
        <v>675</v>
      </c>
    </row>
    <row r="821" spans="1:17" s="44" customFormat="1" ht="30" customHeight="1" x14ac:dyDescent="0.35">
      <c r="A821" s="169" t="s">
        <v>736</v>
      </c>
      <c r="B821" s="148"/>
      <c r="C821" s="148"/>
      <c r="D821" s="148"/>
      <c r="E821" s="148"/>
      <c r="F821" s="175"/>
      <c r="G821" s="167"/>
      <c r="H821" s="167"/>
      <c r="I821" s="167"/>
      <c r="J821" s="167"/>
      <c r="K821" s="167"/>
      <c r="L821" s="167"/>
      <c r="M821" s="167"/>
      <c r="N821" s="167"/>
      <c r="O821" s="167"/>
      <c r="P821" s="173" t="s">
        <v>674</v>
      </c>
      <c r="Q821" s="173" t="s">
        <v>675</v>
      </c>
    </row>
    <row r="822" spans="1:17" s="44" customFormat="1" ht="30" customHeight="1" x14ac:dyDescent="0.35">
      <c r="A822" s="169" t="s">
        <v>737</v>
      </c>
      <c r="B822" s="148"/>
      <c r="C822" s="148"/>
      <c r="D822" s="148"/>
      <c r="E822" s="148"/>
      <c r="F822" s="175"/>
      <c r="G822" s="167"/>
      <c r="H822" s="167"/>
      <c r="I822" s="167"/>
      <c r="J822" s="167"/>
      <c r="K822" s="167"/>
      <c r="L822" s="167"/>
      <c r="M822" s="167"/>
      <c r="N822" s="167"/>
      <c r="O822" s="167"/>
      <c r="P822" s="173" t="s">
        <v>674</v>
      </c>
      <c r="Q822" s="173" t="s">
        <v>675</v>
      </c>
    </row>
    <row r="823" spans="1:17" ht="30" customHeight="1" x14ac:dyDescent="0.35">
      <c r="A823" s="169" t="s">
        <v>738</v>
      </c>
      <c r="B823" s="148"/>
      <c r="C823" s="148"/>
      <c r="D823" s="148"/>
      <c r="E823" s="148"/>
      <c r="F823" s="175"/>
      <c r="G823" s="167"/>
      <c r="H823" s="167"/>
      <c r="I823" s="167"/>
      <c r="J823" s="167"/>
      <c r="K823" s="167"/>
      <c r="L823" s="167"/>
      <c r="M823" s="167"/>
      <c r="N823" s="167"/>
      <c r="O823" s="167"/>
      <c r="P823" s="173" t="s">
        <v>674</v>
      </c>
      <c r="Q823" s="173" t="s">
        <v>675</v>
      </c>
    </row>
    <row r="824" spans="1:17" ht="30" customHeight="1" x14ac:dyDescent="0.35">
      <c r="A824" s="176" t="s">
        <v>747</v>
      </c>
      <c r="B824" s="178"/>
      <c r="C824" s="178"/>
      <c r="D824" s="178"/>
      <c r="E824" s="178"/>
      <c r="F824" s="179"/>
      <c r="G824" s="180"/>
      <c r="H824" s="180"/>
      <c r="I824" s="180"/>
      <c r="J824" s="180"/>
      <c r="K824" s="180"/>
      <c r="L824" s="180"/>
      <c r="M824" s="180"/>
      <c r="N824" s="180"/>
      <c r="O824" s="180"/>
      <c r="P824" s="177" t="s">
        <v>641</v>
      </c>
      <c r="Q824" s="177" t="s">
        <v>642</v>
      </c>
    </row>
    <row r="825" spans="1:17" ht="30" customHeight="1" x14ac:dyDescent="0.35">
      <c r="A825" s="148" t="s">
        <v>740</v>
      </c>
      <c r="B825" s="128"/>
      <c r="C825" s="128"/>
      <c r="D825" s="128"/>
      <c r="E825" s="128"/>
      <c r="F825" s="175"/>
      <c r="G825" s="132"/>
      <c r="H825" s="132"/>
      <c r="I825" s="132"/>
      <c r="J825" s="132"/>
      <c r="K825" s="132"/>
      <c r="L825" s="132"/>
      <c r="M825" s="132"/>
      <c r="N825" s="132"/>
      <c r="O825" s="132"/>
      <c r="P825" s="173" t="s">
        <v>739</v>
      </c>
      <c r="Q825" s="173" t="s">
        <v>675</v>
      </c>
    </row>
    <row r="826" spans="1:17" ht="30" customHeight="1" x14ac:dyDescent="0.35">
      <c r="A826" s="148" t="s">
        <v>741</v>
      </c>
      <c r="B826" s="128"/>
      <c r="C826" s="128"/>
      <c r="D826" s="128"/>
      <c r="E826" s="128"/>
      <c r="F826" s="175"/>
      <c r="G826" s="132"/>
      <c r="H826" s="132"/>
      <c r="I826" s="132"/>
      <c r="J826" s="132"/>
      <c r="K826" s="132"/>
      <c r="L826" s="132"/>
      <c r="M826" s="132"/>
      <c r="N826" s="132"/>
      <c r="O826" s="132"/>
      <c r="P826" s="173" t="s">
        <v>739</v>
      </c>
      <c r="Q826" s="173" t="s">
        <v>675</v>
      </c>
    </row>
  </sheetData>
  <autoFilter ref="F16:F572" xr:uid="{00000000-0009-0000-0000-000000000000}"/>
  <dataConsolidate/>
  <mergeCells count="239">
    <mergeCell ref="A2:Q2"/>
    <mergeCell ref="A3:B3"/>
    <mergeCell ref="C3:C5"/>
    <mergeCell ref="D3:D5"/>
    <mergeCell ref="E3:E5"/>
    <mergeCell ref="F3:F5"/>
    <mergeCell ref="G3:Q3"/>
    <mergeCell ref="A4:B5"/>
    <mergeCell ref="G4:I4"/>
    <mergeCell ref="J4:L4"/>
    <mergeCell ref="A29:A33"/>
    <mergeCell ref="B29:B33"/>
    <mergeCell ref="A34:A40"/>
    <mergeCell ref="B34:B40"/>
    <mergeCell ref="A41:A45"/>
    <mergeCell ref="B41:B45"/>
    <mergeCell ref="M4:M5"/>
    <mergeCell ref="N4:P4"/>
    <mergeCell ref="Q4:Q5"/>
    <mergeCell ref="A10:B10"/>
    <mergeCell ref="A19:A28"/>
    <mergeCell ref="B19:B28"/>
    <mergeCell ref="A60:A62"/>
    <mergeCell ref="B60:B62"/>
    <mergeCell ref="A63:A65"/>
    <mergeCell ref="B63:B65"/>
    <mergeCell ref="A67:A73"/>
    <mergeCell ref="B67:B73"/>
    <mergeCell ref="A47:A49"/>
    <mergeCell ref="B47:B49"/>
    <mergeCell ref="A50:A54"/>
    <mergeCell ref="B50:B54"/>
    <mergeCell ref="A56:A59"/>
    <mergeCell ref="B56:B59"/>
    <mergeCell ref="A95:A98"/>
    <mergeCell ref="B95:B98"/>
    <mergeCell ref="A99:A107"/>
    <mergeCell ref="B99:B107"/>
    <mergeCell ref="A108:A110"/>
    <mergeCell ref="B108:B110"/>
    <mergeCell ref="A74:A76"/>
    <mergeCell ref="B74:B76"/>
    <mergeCell ref="A79:A81"/>
    <mergeCell ref="B79:B81"/>
    <mergeCell ref="A83:A91"/>
    <mergeCell ref="B83:B91"/>
    <mergeCell ref="A124:A126"/>
    <mergeCell ref="B124:B126"/>
    <mergeCell ref="A128:A130"/>
    <mergeCell ref="B128:B130"/>
    <mergeCell ref="A133:A137"/>
    <mergeCell ref="B133:B137"/>
    <mergeCell ref="A112:A115"/>
    <mergeCell ref="B112:B115"/>
    <mergeCell ref="A116:A120"/>
    <mergeCell ref="B116:B120"/>
    <mergeCell ref="A121:A123"/>
    <mergeCell ref="B121:B123"/>
    <mergeCell ref="A147:A149"/>
    <mergeCell ref="B147:B149"/>
    <mergeCell ref="A150:A152"/>
    <mergeCell ref="B150:B152"/>
    <mergeCell ref="A153:A155"/>
    <mergeCell ref="B153:B155"/>
    <mergeCell ref="A138:A140"/>
    <mergeCell ref="B138:B140"/>
    <mergeCell ref="A141:A143"/>
    <mergeCell ref="B141:B143"/>
    <mergeCell ref="A144:A146"/>
    <mergeCell ref="B144:B146"/>
    <mergeCell ref="A168:A172"/>
    <mergeCell ref="B168:B172"/>
    <mergeCell ref="A173:A179"/>
    <mergeCell ref="B173:B179"/>
    <mergeCell ref="A180:A186"/>
    <mergeCell ref="B180:B186"/>
    <mergeCell ref="A156:A158"/>
    <mergeCell ref="B156:B158"/>
    <mergeCell ref="A159:A161"/>
    <mergeCell ref="B159:B161"/>
    <mergeCell ref="A163:A167"/>
    <mergeCell ref="B163:B167"/>
    <mergeCell ref="A202:A206"/>
    <mergeCell ref="B202:B206"/>
    <mergeCell ref="A207:A209"/>
    <mergeCell ref="B207:B209"/>
    <mergeCell ref="A210:A212"/>
    <mergeCell ref="B210:B212"/>
    <mergeCell ref="A187:A193"/>
    <mergeCell ref="B187:B193"/>
    <mergeCell ref="A194:A196"/>
    <mergeCell ref="B194:B196"/>
    <mergeCell ref="A197:A201"/>
    <mergeCell ref="B197:B201"/>
    <mergeCell ref="A236:A238"/>
    <mergeCell ref="B236:B238"/>
    <mergeCell ref="A239:A241"/>
    <mergeCell ref="B239:B241"/>
    <mergeCell ref="A243:A245"/>
    <mergeCell ref="B243:B245"/>
    <mergeCell ref="A214:A220"/>
    <mergeCell ref="B214:B220"/>
    <mergeCell ref="A221:A227"/>
    <mergeCell ref="B221:B227"/>
    <mergeCell ref="A228:A235"/>
    <mergeCell ref="B228:B235"/>
    <mergeCell ref="A259:A261"/>
    <mergeCell ref="B259:B261"/>
    <mergeCell ref="A262:A264"/>
    <mergeCell ref="B262:B264"/>
    <mergeCell ref="A265:A267"/>
    <mergeCell ref="B265:B267"/>
    <mergeCell ref="A246:A248"/>
    <mergeCell ref="B246:B248"/>
    <mergeCell ref="A249:A253"/>
    <mergeCell ref="B249:B253"/>
    <mergeCell ref="A254:A258"/>
    <mergeCell ref="B254:B258"/>
    <mergeCell ref="A279:A283"/>
    <mergeCell ref="B279:B283"/>
    <mergeCell ref="A284:A288"/>
    <mergeCell ref="B284:B288"/>
    <mergeCell ref="A289:A293"/>
    <mergeCell ref="B289:B293"/>
    <mergeCell ref="A268:A270"/>
    <mergeCell ref="B268:B270"/>
    <mergeCell ref="A271:A273"/>
    <mergeCell ref="B271:B273"/>
    <mergeCell ref="A274:A276"/>
    <mergeCell ref="B274:B276"/>
    <mergeCell ref="A309:A311"/>
    <mergeCell ref="B309:B311"/>
    <mergeCell ref="A312:A315"/>
    <mergeCell ref="B312:B315"/>
    <mergeCell ref="A316:A322"/>
    <mergeCell ref="B316:B322"/>
    <mergeCell ref="A297:A299"/>
    <mergeCell ref="B297:B299"/>
    <mergeCell ref="A300:A303"/>
    <mergeCell ref="B300:B303"/>
    <mergeCell ref="B304:B307"/>
    <mergeCell ref="A304:A307"/>
    <mergeCell ref="A339:A341"/>
    <mergeCell ref="B339:B341"/>
    <mergeCell ref="A342:A344"/>
    <mergeCell ref="B342:B344"/>
    <mergeCell ref="A345:A350"/>
    <mergeCell ref="B345:B350"/>
    <mergeCell ref="A323:A329"/>
    <mergeCell ref="B323:B329"/>
    <mergeCell ref="A332:A335"/>
    <mergeCell ref="B332:B335"/>
    <mergeCell ref="A336:A338"/>
    <mergeCell ref="B336:B338"/>
    <mergeCell ref="A369:A371"/>
    <mergeCell ref="B369:B371"/>
    <mergeCell ref="A372:A375"/>
    <mergeCell ref="B372:B375"/>
    <mergeCell ref="A376:A378"/>
    <mergeCell ref="B376:B378"/>
    <mergeCell ref="A352:A354"/>
    <mergeCell ref="B352:B354"/>
    <mergeCell ref="A355:A358"/>
    <mergeCell ref="B355:B358"/>
    <mergeCell ref="A359:A367"/>
    <mergeCell ref="B359:B367"/>
    <mergeCell ref="A393:A396"/>
    <mergeCell ref="B393:B396"/>
    <mergeCell ref="A397:A399"/>
    <mergeCell ref="B397:B399"/>
    <mergeCell ref="A400:A405"/>
    <mergeCell ref="B400:B405"/>
    <mergeCell ref="A380:A383"/>
    <mergeCell ref="B380:B383"/>
    <mergeCell ref="A384:A387"/>
    <mergeCell ref="B384:B387"/>
    <mergeCell ref="A388:A391"/>
    <mergeCell ref="B388:B391"/>
    <mergeCell ref="A427:A429"/>
    <mergeCell ref="B427:B429"/>
    <mergeCell ref="A431:A434"/>
    <mergeCell ref="B431:B434"/>
    <mergeCell ref="A435:A438"/>
    <mergeCell ref="B435:B438"/>
    <mergeCell ref="A406:A409"/>
    <mergeCell ref="B406:B409"/>
    <mergeCell ref="A410:A417"/>
    <mergeCell ref="B410:B417"/>
    <mergeCell ref="A418:A426"/>
    <mergeCell ref="B418:B426"/>
    <mergeCell ref="A450:A452"/>
    <mergeCell ref="B450:B452"/>
    <mergeCell ref="A456:A460"/>
    <mergeCell ref="B456:B460"/>
    <mergeCell ref="A461:A465"/>
    <mergeCell ref="B461:B465"/>
    <mergeCell ref="A440:A442"/>
    <mergeCell ref="B440:B442"/>
    <mergeCell ref="A443:A445"/>
    <mergeCell ref="B443:B445"/>
    <mergeCell ref="A446:A448"/>
    <mergeCell ref="B446:B448"/>
    <mergeCell ref="A481:A485"/>
    <mergeCell ref="B481:B485"/>
    <mergeCell ref="A487:A491"/>
    <mergeCell ref="B487:B491"/>
    <mergeCell ref="A492:A496"/>
    <mergeCell ref="B492:B496"/>
    <mergeCell ref="A466:A470"/>
    <mergeCell ref="B466:B470"/>
    <mergeCell ref="A471:A475"/>
    <mergeCell ref="B471:B475"/>
    <mergeCell ref="A476:A480"/>
    <mergeCell ref="B476:B480"/>
    <mergeCell ref="A515:A522"/>
    <mergeCell ref="B515:B522"/>
    <mergeCell ref="A523:A527"/>
    <mergeCell ref="B523:B527"/>
    <mergeCell ref="A528:A530"/>
    <mergeCell ref="B528:B530"/>
    <mergeCell ref="A497:A501"/>
    <mergeCell ref="B497:B501"/>
    <mergeCell ref="A502:A506"/>
    <mergeCell ref="B502:B506"/>
    <mergeCell ref="A507:A511"/>
    <mergeCell ref="B507:B511"/>
    <mergeCell ref="A758:O758"/>
    <mergeCell ref="A547:A551"/>
    <mergeCell ref="B547:B551"/>
    <mergeCell ref="A552:A554"/>
    <mergeCell ref="B552:B554"/>
    <mergeCell ref="A753:O753"/>
    <mergeCell ref="A754:O754"/>
    <mergeCell ref="A531:A538"/>
    <mergeCell ref="B531:B538"/>
    <mergeCell ref="A539:A543"/>
    <mergeCell ref="B539:B543"/>
    <mergeCell ref="A544:A546"/>
    <mergeCell ref="B544:B546"/>
  </mergeCells>
  <conditionalFormatting sqref="D97:D98 D101:D104 D106:D107 D110 D251:D253 D261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32" fitToHeight="0" pageOrder="overThenDown" orientation="landscape" r:id="rId1"/>
  <headerFooter>
    <oddHeader>&amp;R&amp;26Príloha č. 2</oddHeader>
    <oddFooter>&amp;C&amp;22&amp;P/&amp;N</oddFooter>
  </headerFooter>
  <rowBreaks count="13" manualBreakCount="13">
    <brk id="65" max="16" man="1"/>
    <brk id="126" max="16" man="1"/>
    <brk id="193" max="16" man="1"/>
    <brk id="261" max="16" man="1"/>
    <brk id="329" max="16" man="1"/>
    <brk id="367" max="16" man="1"/>
    <brk id="409" max="16" man="1"/>
    <brk id="452" max="16" man="1"/>
    <brk id="511" max="16" man="1"/>
    <brk id="572" max="16" man="1"/>
    <brk id="634" max="16" man="1"/>
    <brk id="697" max="16" man="1"/>
    <brk id="77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PSK_AT_verzia_4_0</vt:lpstr>
      <vt:lpstr>PSK_AT_verzia_4_0_vs_3_5</vt:lpstr>
      <vt:lpstr>PSK_AT_verzia_3_5</vt:lpstr>
      <vt:lpstr>PSK_AT_verzia_3_5!Názvy_tlače</vt:lpstr>
      <vt:lpstr>PSK_AT_verzia_4_0!Názvy_tlače</vt:lpstr>
      <vt:lpstr>PSK_AT_verzia_3_5!Oblasť_tlače</vt:lpstr>
      <vt:lpstr>PSK_AT_verzia_4_0!Oblasť_tlače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RO_sppps</cp:lastModifiedBy>
  <cp:lastPrinted>2025-12-07T16:02:06Z</cp:lastPrinted>
  <dcterms:created xsi:type="dcterms:W3CDTF">2025-01-28T13:37:32Z</dcterms:created>
  <dcterms:modified xsi:type="dcterms:W3CDTF">2025-12-07T16:10:20Z</dcterms:modified>
</cp:coreProperties>
</file>